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showObjects="none"/>
  <mc:AlternateContent xmlns:mc="http://schemas.openxmlformats.org/markup-compatibility/2006">
    <mc:Choice Requires="x15">
      <x15ac:absPath xmlns:x15ac="http://schemas.microsoft.com/office/spreadsheetml/2010/11/ac" url="/Users/mdsaeedzaman/Downloads/"/>
    </mc:Choice>
  </mc:AlternateContent>
  <xr:revisionPtr revIDLastSave="0" documentId="13_ncr:1_{A01C311B-8703-5E4F-8377-1DA1CAF66646}" xr6:coauthVersionLast="47" xr6:coauthVersionMax="47" xr10:uidLastSave="{00000000-0000-0000-0000-000000000000}"/>
  <bookViews>
    <workbookView xWindow="0" yWindow="780" windowWidth="34200" windowHeight="21460" tabRatio="500" activeTab="4" xr2:uid="{00000000-000D-0000-FFFF-FFFF00000000}"/>
  </bookViews>
  <sheets>
    <sheet name="README" sheetId="1" state="hidden" r:id="rId1"/>
    <sheet name="Decision_Log" sheetId="2" state="hidden" r:id="rId2"/>
    <sheet name="Historicals_A" sheetId="4" state="hidden" r:id="rId3"/>
    <sheet name="Source_Data" sheetId="5" state="hidden" r:id="rId4"/>
    <sheet name="Summary" sheetId="14" r:id="rId5"/>
    <sheet name="Scenarios" sheetId="13" r:id="rId6"/>
    <sheet name="NAV_SOTP" sheetId="11" r:id="rId7"/>
    <sheet name="DCF" sheetId="10" r:id="rId8"/>
    <sheet name="Comps" sheetId="12" r:id="rId9"/>
    <sheet name="FFO_Bridge" sheetId="9" r:id="rId10"/>
    <sheet name="Rev_Build" sheetId="6" r:id="rId11"/>
    <sheet name="Opex_NOI" sheetId="7" r:id="rId12"/>
    <sheet name="Capital" sheetId="8" r:id="rId13"/>
    <sheet name="Historicals_Q" sheetId="3"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5" i="13" l="1" a="1"/>
  <c r="C25" i="13" s="1"/>
  <c r="D25" i="13" a="1"/>
  <c r="D25" i="13" s="1"/>
  <c r="C26" i="13"/>
  <c r="D26" i="13"/>
  <c r="B26" i="13"/>
  <c r="B25" i="13" a="1"/>
  <c r="B25" i="13" s="1"/>
  <c r="C16" i="14"/>
  <c r="C16" i="13"/>
  <c r="D16" i="13"/>
  <c r="B16" i="13"/>
  <c r="B57" i="11"/>
  <c r="C57" i="11"/>
  <c r="D57" i="11"/>
  <c r="E57" i="11"/>
  <c r="B58" i="11"/>
  <c r="C58" i="11"/>
  <c r="D58" i="11"/>
  <c r="E58" i="11"/>
  <c r="B59" i="11"/>
  <c r="C59" i="11"/>
  <c r="D59" i="11"/>
  <c r="E59" i="11"/>
  <c r="C56" i="11"/>
  <c r="D56" i="11"/>
  <c r="E56" i="11"/>
  <c r="B56" i="11"/>
  <c r="B13" i="11"/>
  <c r="F77" i="10" a="1"/>
  <c r="F77" i="10" s="1"/>
  <c r="F78" i="10" a="1"/>
  <c r="F78" i="10"/>
  <c r="F79" i="10" a="1"/>
  <c r="F79" i="10"/>
  <c r="F80" i="10" a="1"/>
  <c r="F80" i="10"/>
  <c r="E77" i="10" a="1"/>
  <c r="E77" i="10" s="1"/>
  <c r="E78" i="10" a="1"/>
  <c r="E78" i="10" s="1"/>
  <c r="E79" i="10" a="1"/>
  <c r="E79" i="10" s="1"/>
  <c r="E80" i="10" a="1"/>
  <c r="E80" i="10" s="1"/>
  <c r="D77" i="10" a="1"/>
  <c r="D77" i="10" s="1"/>
  <c r="D78" i="10" a="1"/>
  <c r="D78" i="10" s="1"/>
  <c r="D79" i="10" a="1"/>
  <c r="D79" i="10" s="1"/>
  <c r="D80" i="10" a="1"/>
  <c r="D80" i="10"/>
  <c r="C77" i="10" a="1"/>
  <c r="C77" i="10" s="1"/>
  <c r="C78" i="10" a="1"/>
  <c r="C78" i="10" s="1"/>
  <c r="C79" i="10" a="1"/>
  <c r="C79" i="10" s="1"/>
  <c r="C80" i="10" a="1"/>
  <c r="C80" i="10" s="1"/>
  <c r="B77" i="10" a="1"/>
  <c r="B77" i="10" s="1"/>
  <c r="B78" i="10" a="1"/>
  <c r="B78" i="10" s="1"/>
  <c r="B79" i="10" a="1"/>
  <c r="B79" i="10" s="1"/>
  <c r="B80" i="10" a="1"/>
  <c r="B80" i="10" s="1"/>
  <c r="C76" i="10" a="1"/>
  <c r="C76" i="10" s="1"/>
  <c r="D76" i="10" a="1"/>
  <c r="D76" i="10" s="1"/>
  <c r="E76" i="10" a="1"/>
  <c r="E76" i="10"/>
  <c r="F76" i="10" a="1"/>
  <c r="F76" i="10" s="1"/>
  <c r="B76" i="10" a="1"/>
  <c r="B76" i="10" s="1"/>
  <c r="B53" i="10"/>
  <c r="B52" i="10"/>
  <c r="B51" i="10"/>
  <c r="B44" i="10"/>
  <c r="G36" i="10"/>
  <c r="H36" i="10"/>
  <c r="I36" i="10"/>
  <c r="J36" i="10"/>
  <c r="K36" i="10"/>
  <c r="L36" i="10"/>
  <c r="H38" i="10"/>
  <c r="I38" i="10" s="1"/>
  <c r="J38" i="10" s="1"/>
  <c r="K38" i="10" s="1"/>
  <c r="L38" i="10" s="1"/>
  <c r="G38" i="10"/>
  <c r="H31" i="10"/>
  <c r="I31" i="10"/>
  <c r="J31" i="10"/>
  <c r="K31" i="10"/>
  <c r="L31" i="10"/>
  <c r="H30" i="10"/>
  <c r="I30" i="10" s="1"/>
  <c r="J30" i="10" s="1"/>
  <c r="K30" i="10" s="1"/>
  <c r="L30" i="10" s="1"/>
  <c r="G31" i="10"/>
  <c r="G30" i="10"/>
  <c r="B63" i="6"/>
  <c r="F99" i="3"/>
  <c r="B24" i="14"/>
  <c r="B19" i="14"/>
  <c r="D12" i="14"/>
  <c r="D36" i="13"/>
  <c r="C36" i="13"/>
  <c r="B36" i="13"/>
  <c r="C34" i="12"/>
  <c r="C33" i="12"/>
  <c r="C32" i="12"/>
  <c r="C31" i="12"/>
  <c r="C30" i="12"/>
  <c r="C17" i="12"/>
  <c r="B11" i="12"/>
  <c r="B10" i="12"/>
  <c r="C9" i="12"/>
  <c r="C12" i="12" s="1"/>
  <c r="C29" i="12" s="1"/>
  <c r="B8" i="12"/>
  <c r="B7" i="12"/>
  <c r="B49" i="11"/>
  <c r="B47" i="11"/>
  <c r="B36" i="11"/>
  <c r="B20" i="13" s="1"/>
  <c r="B33" i="11"/>
  <c r="B28" i="11"/>
  <c r="C18" i="13" s="1"/>
  <c r="B22" i="11"/>
  <c r="B21" i="11"/>
  <c r="B12" i="11"/>
  <c r="B6" i="11"/>
  <c r="B5" i="11"/>
  <c r="B69" i="10"/>
  <c r="B65" i="10"/>
  <c r="F35" i="10"/>
  <c r="E35" i="10"/>
  <c r="D35" i="10"/>
  <c r="F34" i="10"/>
  <c r="E34" i="10"/>
  <c r="D34" i="10"/>
  <c r="C34" i="10"/>
  <c r="F33" i="10"/>
  <c r="E33" i="10"/>
  <c r="D33" i="10"/>
  <c r="C33" i="10"/>
  <c r="F32" i="10"/>
  <c r="E32" i="10"/>
  <c r="D32" i="10"/>
  <c r="C32" i="10"/>
  <c r="F31" i="10"/>
  <c r="E31" i="10"/>
  <c r="D31" i="10"/>
  <c r="B19" i="10"/>
  <c r="B17" i="10"/>
  <c r="B15" i="10"/>
  <c r="B12" i="10"/>
  <c r="B8" i="10"/>
  <c r="B97" i="9"/>
  <c r="B96" i="9"/>
  <c r="B93" i="9"/>
  <c r="B92" i="9"/>
  <c r="B89" i="9"/>
  <c r="B88" i="9"/>
  <c r="N60" i="9"/>
  <c r="M60" i="9"/>
  <c r="L60" i="9"/>
  <c r="J60" i="9"/>
  <c r="I60" i="9"/>
  <c r="H60" i="9"/>
  <c r="G60" i="9"/>
  <c r="E60" i="9"/>
  <c r="D60" i="9"/>
  <c r="C60" i="9"/>
  <c r="B60" i="9"/>
  <c r="N57" i="9"/>
  <c r="M57" i="9"/>
  <c r="L57" i="9"/>
  <c r="J57" i="9"/>
  <c r="I57" i="9"/>
  <c r="H57" i="9"/>
  <c r="G57" i="9"/>
  <c r="E57" i="9"/>
  <c r="D57" i="9"/>
  <c r="C57" i="9"/>
  <c r="F57" i="9" s="1"/>
  <c r="B57" i="9"/>
  <c r="K56" i="9"/>
  <c r="C56" i="9"/>
  <c r="B56" i="9"/>
  <c r="F56" i="9" s="1"/>
  <c r="K55" i="9"/>
  <c r="F55" i="9"/>
  <c r="C55" i="9"/>
  <c r="B55" i="9"/>
  <c r="N54" i="9"/>
  <c r="M54" i="9"/>
  <c r="L54" i="9"/>
  <c r="J54" i="9"/>
  <c r="I54" i="9"/>
  <c r="H54" i="9"/>
  <c r="G54" i="9"/>
  <c r="K54" i="9" s="1"/>
  <c r="E54" i="9"/>
  <c r="D54" i="9"/>
  <c r="C54" i="9"/>
  <c r="F54" i="9" s="1"/>
  <c r="B54" i="9"/>
  <c r="K53" i="9"/>
  <c r="C53" i="9"/>
  <c r="F53" i="9" s="1"/>
  <c r="B53" i="9"/>
  <c r="K52" i="9"/>
  <c r="C52" i="9"/>
  <c r="B52" i="9"/>
  <c r="F52" i="9" s="1"/>
  <c r="K51" i="9"/>
  <c r="C51" i="9"/>
  <c r="B51" i="9"/>
  <c r="N50" i="9"/>
  <c r="M50" i="9"/>
  <c r="L50" i="9"/>
  <c r="J50" i="9"/>
  <c r="I50" i="9"/>
  <c r="H50" i="9"/>
  <c r="K50" i="9" s="1"/>
  <c r="G50" i="9"/>
  <c r="F50" i="9"/>
  <c r="E50" i="9"/>
  <c r="D50" i="9"/>
  <c r="B50" i="9"/>
  <c r="K43" i="9"/>
  <c r="C43" i="9"/>
  <c r="B43" i="9"/>
  <c r="F43" i="9" s="1"/>
  <c r="K41" i="9"/>
  <c r="C41" i="9"/>
  <c r="B41" i="9"/>
  <c r="F41" i="9" s="1"/>
  <c r="K40" i="9"/>
  <c r="C40" i="9"/>
  <c r="B40" i="9"/>
  <c r="F40" i="9" s="1"/>
  <c r="N39" i="9"/>
  <c r="M39" i="9"/>
  <c r="L39" i="9"/>
  <c r="J39" i="9"/>
  <c r="I39" i="9"/>
  <c r="H39" i="9"/>
  <c r="K39" i="9" s="1"/>
  <c r="G39" i="9"/>
  <c r="E39" i="9"/>
  <c r="D39" i="9"/>
  <c r="K38" i="9"/>
  <c r="C38" i="9"/>
  <c r="B38" i="9"/>
  <c r="F38" i="9" s="1"/>
  <c r="N37" i="9"/>
  <c r="M37" i="9"/>
  <c r="L37" i="9"/>
  <c r="J37" i="9"/>
  <c r="I37" i="9"/>
  <c r="K37" i="9" s="1"/>
  <c r="H37" i="9"/>
  <c r="G37" i="9"/>
  <c r="E37" i="9"/>
  <c r="D37" i="9"/>
  <c r="C37" i="9"/>
  <c r="B37" i="9"/>
  <c r="F37" i="9" s="1"/>
  <c r="K36" i="9"/>
  <c r="C36" i="9"/>
  <c r="B36" i="9"/>
  <c r="F36" i="9" s="1"/>
  <c r="B31" i="9"/>
  <c r="B67" i="9" s="1"/>
  <c r="K30" i="9"/>
  <c r="C30" i="9"/>
  <c r="B30" i="9"/>
  <c r="F30" i="9" s="1"/>
  <c r="K29" i="9"/>
  <c r="F29" i="9"/>
  <c r="C29" i="9"/>
  <c r="C50" i="9" s="1"/>
  <c r="B29" i="9"/>
  <c r="K27" i="9"/>
  <c r="F27" i="9"/>
  <c r="C27" i="9"/>
  <c r="B27" i="9"/>
  <c r="N26" i="9"/>
  <c r="M26" i="9"/>
  <c r="L26" i="9"/>
  <c r="J26" i="9"/>
  <c r="I26" i="9"/>
  <c r="H26" i="9"/>
  <c r="G26" i="9"/>
  <c r="K26" i="9" s="1"/>
  <c r="F26" i="9"/>
  <c r="E26" i="9"/>
  <c r="D26" i="9"/>
  <c r="C26" i="9"/>
  <c r="B26" i="9"/>
  <c r="K25" i="9"/>
  <c r="F25" i="9"/>
  <c r="C25" i="9"/>
  <c r="B25" i="9"/>
  <c r="K24" i="9"/>
  <c r="F24" i="9"/>
  <c r="C24" i="9"/>
  <c r="B24" i="9"/>
  <c r="N23" i="9"/>
  <c r="M23" i="9"/>
  <c r="L23" i="9"/>
  <c r="J23" i="9"/>
  <c r="I23" i="9"/>
  <c r="H23" i="9"/>
  <c r="G23" i="9"/>
  <c r="K23" i="9" s="1"/>
  <c r="E23" i="9"/>
  <c r="D23" i="9"/>
  <c r="K22" i="9"/>
  <c r="C22" i="9"/>
  <c r="B22" i="9"/>
  <c r="F22" i="9" s="1"/>
  <c r="K17" i="9"/>
  <c r="C17" i="9"/>
  <c r="B17" i="9"/>
  <c r="F17" i="9" s="1"/>
  <c r="K16" i="9"/>
  <c r="C16" i="9"/>
  <c r="B16" i="9"/>
  <c r="F16" i="9" s="1"/>
  <c r="K14" i="9"/>
  <c r="C14" i="9"/>
  <c r="B14" i="9"/>
  <c r="C13" i="9"/>
  <c r="B13" i="9"/>
  <c r="N12" i="9"/>
  <c r="M12" i="9"/>
  <c r="L12" i="9"/>
  <c r="J12" i="9"/>
  <c r="I12" i="9"/>
  <c r="H12" i="9"/>
  <c r="K12" i="9" s="1"/>
  <c r="G12" i="9"/>
  <c r="E12" i="9"/>
  <c r="D12" i="9"/>
  <c r="F12" i="9" s="1"/>
  <c r="C12" i="9"/>
  <c r="B12" i="9"/>
  <c r="K11" i="9"/>
  <c r="C11" i="9"/>
  <c r="B11" i="9"/>
  <c r="F11" i="9" s="1"/>
  <c r="K10" i="9"/>
  <c r="C10" i="9"/>
  <c r="B10" i="9"/>
  <c r="F10" i="9" s="1"/>
  <c r="K9" i="9"/>
  <c r="F9" i="9"/>
  <c r="B87" i="8"/>
  <c r="B86" i="8"/>
  <c r="B85" i="8"/>
  <c r="B88" i="8" s="1"/>
  <c r="B75" i="8"/>
  <c r="B74" i="8"/>
  <c r="B71" i="8"/>
  <c r="B70" i="8"/>
  <c r="B72" i="8" s="1"/>
  <c r="B67" i="8"/>
  <c r="B66" i="8"/>
  <c r="C62" i="8"/>
  <c r="C31" i="9" s="1"/>
  <c r="C67" i="9" s="1"/>
  <c r="B62" i="8"/>
  <c r="C60" i="8"/>
  <c r="C45" i="9" s="1"/>
  <c r="B60" i="8"/>
  <c r="B45" i="9" s="1"/>
  <c r="C58" i="8"/>
  <c r="B58" i="8"/>
  <c r="K54" i="8"/>
  <c r="F54" i="8"/>
  <c r="F52" i="8"/>
  <c r="D52" i="8"/>
  <c r="K47" i="8"/>
  <c r="F47" i="8"/>
  <c r="K46" i="8"/>
  <c r="F46" i="8"/>
  <c r="D44" i="8"/>
  <c r="F39" i="8"/>
  <c r="K35" i="8"/>
  <c r="F35" i="8"/>
  <c r="K34" i="8"/>
  <c r="C35" i="10" s="1"/>
  <c r="F34" i="8"/>
  <c r="B73" i="8" s="1"/>
  <c r="B76" i="8" s="1"/>
  <c r="N31" i="8"/>
  <c r="M31" i="8"/>
  <c r="L31" i="8"/>
  <c r="J31" i="8"/>
  <c r="I31" i="8"/>
  <c r="H31" i="8"/>
  <c r="G31" i="8"/>
  <c r="E31" i="8"/>
  <c r="D31" i="8"/>
  <c r="C31" i="8"/>
  <c r="B31" i="8"/>
  <c r="F31" i="8" s="1"/>
  <c r="K30" i="8"/>
  <c r="F30" i="8"/>
  <c r="K29" i="8"/>
  <c r="F29" i="8"/>
  <c r="K28" i="8"/>
  <c r="F28" i="8"/>
  <c r="B69" i="8" s="1"/>
  <c r="F23" i="8"/>
  <c r="K21" i="8"/>
  <c r="F21" i="8"/>
  <c r="K20" i="8"/>
  <c r="C31" i="10" s="1"/>
  <c r="F20" i="8"/>
  <c r="C15" i="8"/>
  <c r="B15" i="8"/>
  <c r="B78" i="8" s="1"/>
  <c r="K14" i="8"/>
  <c r="F14" i="8"/>
  <c r="F9" i="8"/>
  <c r="B65" i="8" s="1"/>
  <c r="D8" i="8"/>
  <c r="B71" i="7"/>
  <c r="B70" i="7"/>
  <c r="B69" i="7"/>
  <c r="B66" i="7"/>
  <c r="B65" i="7"/>
  <c r="B61" i="7"/>
  <c r="B58" i="7"/>
  <c r="N53" i="7"/>
  <c r="M53" i="7"/>
  <c r="L53" i="7"/>
  <c r="J53" i="7"/>
  <c r="I53" i="7"/>
  <c r="H53" i="7"/>
  <c r="G53" i="7"/>
  <c r="E53" i="7"/>
  <c r="D53" i="7"/>
  <c r="N52" i="7"/>
  <c r="M52" i="7"/>
  <c r="L52" i="7"/>
  <c r="K52" i="7"/>
  <c r="J52" i="7"/>
  <c r="I52" i="7"/>
  <c r="H52" i="7"/>
  <c r="G52" i="7"/>
  <c r="E52" i="7"/>
  <c r="D52" i="7"/>
  <c r="C52" i="7"/>
  <c r="B52" i="7"/>
  <c r="N51" i="7"/>
  <c r="M51" i="7"/>
  <c r="L51" i="7"/>
  <c r="K51" i="7"/>
  <c r="J51" i="7"/>
  <c r="I51" i="7"/>
  <c r="H51" i="7"/>
  <c r="G51" i="7"/>
  <c r="E51" i="7"/>
  <c r="D51" i="7"/>
  <c r="K44" i="7"/>
  <c r="F44" i="7"/>
  <c r="K43" i="7"/>
  <c r="F43" i="7"/>
  <c r="N42" i="7"/>
  <c r="M42" i="7"/>
  <c r="L42" i="7"/>
  <c r="J42" i="7"/>
  <c r="I42" i="7"/>
  <c r="H42" i="7"/>
  <c r="G42" i="7"/>
  <c r="E42" i="7"/>
  <c r="D42" i="7"/>
  <c r="C42" i="7"/>
  <c r="N41" i="7"/>
  <c r="M41" i="7"/>
  <c r="L41" i="7"/>
  <c r="J41" i="7"/>
  <c r="I41" i="7"/>
  <c r="H41" i="7"/>
  <c r="G41" i="7"/>
  <c r="E41" i="7"/>
  <c r="D41" i="7"/>
  <c r="C41" i="7"/>
  <c r="N40" i="7"/>
  <c r="M40" i="7"/>
  <c r="L40" i="7"/>
  <c r="J40" i="7"/>
  <c r="I40" i="7"/>
  <c r="H40" i="7"/>
  <c r="G40" i="7"/>
  <c r="E40" i="7"/>
  <c r="D40" i="7"/>
  <c r="C40" i="7"/>
  <c r="B40" i="7"/>
  <c r="K36" i="7"/>
  <c r="C36" i="7"/>
  <c r="B36" i="7"/>
  <c r="K35" i="7"/>
  <c r="C35" i="7"/>
  <c r="B35" i="7"/>
  <c r="F35" i="7" s="1"/>
  <c r="K34" i="7"/>
  <c r="K53" i="7" s="1"/>
  <c r="F34" i="7"/>
  <c r="C34" i="7"/>
  <c r="B34" i="7"/>
  <c r="K33" i="7"/>
  <c r="C33" i="7"/>
  <c r="C39" i="9" s="1"/>
  <c r="B33" i="7"/>
  <c r="K31" i="7"/>
  <c r="K42" i="7" s="1"/>
  <c r="C31" i="7"/>
  <c r="B31" i="7"/>
  <c r="K27" i="7"/>
  <c r="F27" i="7"/>
  <c r="N14" i="7"/>
  <c r="M14" i="7"/>
  <c r="L14" i="7"/>
  <c r="J14" i="7"/>
  <c r="I14" i="7"/>
  <c r="H14" i="7"/>
  <c r="G14" i="7"/>
  <c r="E14" i="7"/>
  <c r="D14" i="7"/>
  <c r="B62" i="6"/>
  <c r="B61" i="6"/>
  <c r="B53" i="6"/>
  <c r="N47" i="6"/>
  <c r="M47" i="6"/>
  <c r="L47" i="6"/>
  <c r="L10" i="6" s="1"/>
  <c r="J47" i="6"/>
  <c r="J10" i="6" s="1"/>
  <c r="H47" i="6"/>
  <c r="H10" i="6" s="1"/>
  <c r="G47" i="6"/>
  <c r="N46" i="6"/>
  <c r="M46" i="6"/>
  <c r="L46" i="6"/>
  <c r="J46" i="6"/>
  <c r="I46" i="6"/>
  <c r="H46" i="6"/>
  <c r="G46" i="6"/>
  <c r="E46" i="6"/>
  <c r="D46" i="6"/>
  <c r="N45" i="6"/>
  <c r="M45" i="6"/>
  <c r="L45" i="6"/>
  <c r="J45" i="6"/>
  <c r="I45" i="6"/>
  <c r="H45" i="6"/>
  <c r="G45" i="6"/>
  <c r="E45" i="6"/>
  <c r="D45" i="6"/>
  <c r="D47" i="6" s="1"/>
  <c r="D10" i="6" s="1"/>
  <c r="K42" i="6"/>
  <c r="F42" i="6"/>
  <c r="K41" i="6"/>
  <c r="F41" i="6"/>
  <c r="D40" i="6"/>
  <c r="D43" i="6" s="1"/>
  <c r="E40" i="6" s="1"/>
  <c r="E43" i="6" s="1"/>
  <c r="N36" i="6"/>
  <c r="M36" i="6"/>
  <c r="L36" i="6"/>
  <c r="K36" i="6"/>
  <c r="J36" i="6"/>
  <c r="I36" i="6"/>
  <c r="N35" i="6"/>
  <c r="M35" i="6"/>
  <c r="L35" i="6"/>
  <c r="K35" i="6"/>
  <c r="J35" i="6"/>
  <c r="H35" i="6"/>
  <c r="H36" i="6" s="1"/>
  <c r="E35" i="6"/>
  <c r="E36" i="6" s="1"/>
  <c r="N32" i="6"/>
  <c r="M32" i="6"/>
  <c r="L32" i="6"/>
  <c r="K32" i="6"/>
  <c r="J32" i="6"/>
  <c r="I32" i="6"/>
  <c r="I35" i="6" s="1"/>
  <c r="H32" i="6"/>
  <c r="G32" i="6"/>
  <c r="G35" i="6" s="1"/>
  <c r="G36" i="6" s="1"/>
  <c r="F32" i="6"/>
  <c r="F35" i="6" s="1"/>
  <c r="F36" i="6" s="1"/>
  <c r="E32" i="6"/>
  <c r="D32" i="6"/>
  <c r="D35" i="6" s="1"/>
  <c r="D36" i="6" s="1"/>
  <c r="K15" i="6"/>
  <c r="K41" i="7" s="1"/>
  <c r="C15" i="6"/>
  <c r="B15" i="6"/>
  <c r="B41" i="7" s="1"/>
  <c r="K14" i="6"/>
  <c r="K40" i="7" s="1"/>
  <c r="F14" i="6"/>
  <c r="F40" i="7" s="1"/>
  <c r="C14" i="6"/>
  <c r="B14" i="6"/>
  <c r="C13" i="6"/>
  <c r="B13" i="6"/>
  <c r="N12" i="6"/>
  <c r="M12" i="6"/>
  <c r="L12" i="6"/>
  <c r="J12" i="6"/>
  <c r="K12" i="6" s="1"/>
  <c r="I12" i="6"/>
  <c r="H12" i="6"/>
  <c r="G12" i="6"/>
  <c r="E12" i="6"/>
  <c r="F12" i="6" s="1"/>
  <c r="D12" i="6"/>
  <c r="K11" i="6"/>
  <c r="F11" i="6"/>
  <c r="N10" i="6"/>
  <c r="M10" i="6"/>
  <c r="G10" i="6"/>
  <c r="F126" i="5"/>
  <c r="E126" i="5"/>
  <c r="D126" i="5"/>
  <c r="C126" i="5"/>
  <c r="B126" i="5"/>
  <c r="C56" i="4"/>
  <c r="B56" i="4"/>
  <c r="C55" i="4"/>
  <c r="B55" i="4"/>
  <c r="C54" i="4"/>
  <c r="B53" i="4"/>
  <c r="C52" i="4"/>
  <c r="C20" i="4"/>
  <c r="C27" i="4" s="1"/>
  <c r="C30" i="4" s="1"/>
  <c r="C35" i="4" s="1"/>
  <c r="C42" i="4" s="1"/>
  <c r="C44" i="4" s="1"/>
  <c r="B20" i="4"/>
  <c r="B27" i="4" s="1"/>
  <c r="B30" i="4" s="1"/>
  <c r="D18" i="4"/>
  <c r="C18" i="4"/>
  <c r="B18" i="4"/>
  <c r="D9" i="4"/>
  <c r="C9" i="4"/>
  <c r="C53" i="4" s="1"/>
  <c r="B9" i="4"/>
  <c r="B54" i="4" s="1"/>
  <c r="F113" i="3"/>
  <c r="E113" i="3"/>
  <c r="D113" i="3"/>
  <c r="C113" i="3"/>
  <c r="B113" i="3"/>
  <c r="F48" i="3"/>
  <c r="E48" i="3"/>
  <c r="D48" i="3"/>
  <c r="C48" i="3"/>
  <c r="B48" i="3"/>
  <c r="E46" i="3"/>
  <c r="E53" i="3" s="1"/>
  <c r="F28" i="3"/>
  <c r="E28" i="3"/>
  <c r="D28" i="3"/>
  <c r="C28" i="3"/>
  <c r="B28" i="3"/>
  <c r="F15" i="3"/>
  <c r="F30" i="3" s="1"/>
  <c r="F32" i="3" s="1"/>
  <c r="F38" i="3" s="1"/>
  <c r="F41" i="3" s="1"/>
  <c r="E15" i="3"/>
  <c r="E30" i="3" s="1"/>
  <c r="E32" i="3" s="1"/>
  <c r="E38" i="3" s="1"/>
  <c r="E41" i="3" s="1"/>
  <c r="D15" i="3"/>
  <c r="D30" i="3" s="1"/>
  <c r="D32" i="3" s="1"/>
  <c r="D38" i="3" s="1"/>
  <c r="D41" i="3" s="1"/>
  <c r="C15" i="3"/>
  <c r="C30" i="3" s="1"/>
  <c r="C32" i="3" s="1"/>
  <c r="C38" i="3" s="1"/>
  <c r="C41" i="3" s="1"/>
  <c r="B15" i="3"/>
  <c r="B30" i="3" s="1"/>
  <c r="B32" i="3" s="1"/>
  <c r="B38" i="3" s="1"/>
  <c r="B41" i="3" s="1"/>
  <c r="B14" i="11" l="1"/>
  <c r="B7" i="11"/>
  <c r="C15" i="13" s="1"/>
  <c r="B23" i="11"/>
  <c r="B18" i="13"/>
  <c r="B30" i="11"/>
  <c r="B42" i="11" s="1"/>
  <c r="D18" i="13"/>
  <c r="B21" i="10"/>
  <c r="B25" i="10" s="1"/>
  <c r="B32" i="4"/>
  <c r="B35" i="4"/>
  <c r="B42" i="4" s="1"/>
  <c r="E55" i="3"/>
  <c r="E97" i="3"/>
  <c r="E58" i="3"/>
  <c r="E65" i="3" s="1"/>
  <c r="D43" i="3"/>
  <c r="D46" i="3"/>
  <c r="D53" i="3" s="1"/>
  <c r="B46" i="3"/>
  <c r="B53" i="3" s="1"/>
  <c r="B43" i="3"/>
  <c r="C43" i="3"/>
  <c r="C46" i="3"/>
  <c r="C53" i="3" s="1"/>
  <c r="C16" i="6"/>
  <c r="C8" i="7"/>
  <c r="D8" i="6"/>
  <c r="C32" i="4"/>
  <c r="D10" i="8"/>
  <c r="D13" i="8"/>
  <c r="B23" i="10"/>
  <c r="K10" i="6"/>
  <c r="C48" i="4"/>
  <c r="B72" i="9"/>
  <c r="E43" i="3"/>
  <c r="G40" i="6"/>
  <c r="G43" i="6" s="1"/>
  <c r="H40" i="6" s="1"/>
  <c r="H43" i="6" s="1"/>
  <c r="I40" i="6" s="1"/>
  <c r="I43" i="6" s="1"/>
  <c r="J40" i="6" s="1"/>
  <c r="J43" i="6" s="1"/>
  <c r="K43" i="6" s="1"/>
  <c r="L40" i="6" s="1"/>
  <c r="L43" i="6" s="1"/>
  <c r="M40" i="6" s="1"/>
  <c r="M43" i="6" s="1"/>
  <c r="N40" i="6" s="1"/>
  <c r="N43" i="6" s="1"/>
  <c r="F43" i="6"/>
  <c r="B9" i="12"/>
  <c r="B12" i="12" s="1"/>
  <c r="D53" i="4"/>
  <c r="D56" i="4"/>
  <c r="D55" i="4"/>
  <c r="D54" i="4"/>
  <c r="D20" i="4"/>
  <c r="D27" i="4" s="1"/>
  <c r="D30" i="4" s="1"/>
  <c r="D52" i="4"/>
  <c r="B75" i="9"/>
  <c r="F43" i="3"/>
  <c r="F46" i="3"/>
  <c r="F53" i="3" s="1"/>
  <c r="B8" i="7"/>
  <c r="B16" i="6"/>
  <c r="I47" i="6"/>
  <c r="I10" i="6" s="1"/>
  <c r="B15" i="13"/>
  <c r="D15" i="13"/>
  <c r="B9" i="11"/>
  <c r="B39" i="11" s="1"/>
  <c r="D20" i="13"/>
  <c r="C20" i="13"/>
  <c r="B45" i="11"/>
  <c r="E47" i="6"/>
  <c r="E10" i="6" s="1"/>
  <c r="F10" i="6" s="1"/>
  <c r="K60" i="9"/>
  <c r="F15" i="6"/>
  <c r="F41" i="7" s="1"/>
  <c r="B42" i="7"/>
  <c r="F31" i="7"/>
  <c r="B39" i="9"/>
  <c r="F39" i="9" s="1"/>
  <c r="B53" i="7"/>
  <c r="F33" i="7"/>
  <c r="F53" i="7" s="1"/>
  <c r="B21" i="12"/>
  <c r="B33" i="12" s="1"/>
  <c r="B26" i="14"/>
  <c r="B32" i="7"/>
  <c r="D24" i="8"/>
  <c r="K57" i="9"/>
  <c r="C17" i="13"/>
  <c r="B17" i="13"/>
  <c r="D17" i="13"/>
  <c r="B25" i="11"/>
  <c r="B41" i="11" s="1"/>
  <c r="F14" i="9"/>
  <c r="B23" i="9"/>
  <c r="B51" i="7"/>
  <c r="F36" i="7"/>
  <c r="F51" i="7" s="1"/>
  <c r="C51" i="7"/>
  <c r="C23" i="9"/>
  <c r="C53" i="7"/>
  <c r="B68" i="8"/>
  <c r="K31" i="8"/>
  <c r="F60" i="9"/>
  <c r="F51" i="9"/>
  <c r="B24" i="10" l="1"/>
  <c r="B16" i="11"/>
  <c r="B18" i="11" s="1"/>
  <c r="B17" i="11"/>
  <c r="B40" i="11"/>
  <c r="B26" i="10"/>
  <c r="F39" i="10" s="1"/>
  <c r="B11" i="7"/>
  <c r="B17" i="7" s="1"/>
  <c r="B19" i="7"/>
  <c r="B13" i="7"/>
  <c r="B23" i="7"/>
  <c r="B10" i="7"/>
  <c r="B12" i="7"/>
  <c r="B18" i="7"/>
  <c r="B78" i="9"/>
  <c r="F55" i="3"/>
  <c r="F97" i="3"/>
  <c r="F58" i="3"/>
  <c r="F65" i="3" s="1"/>
  <c r="B97" i="3"/>
  <c r="B55" i="3"/>
  <c r="B58" i="3"/>
  <c r="B65" i="3" s="1"/>
  <c r="D15" i="8"/>
  <c r="D19" i="8"/>
  <c r="D58" i="3"/>
  <c r="D65" i="3" s="1"/>
  <c r="D55" i="3"/>
  <c r="D97" i="3"/>
  <c r="E8" i="8"/>
  <c r="E98" i="3"/>
  <c r="E74" i="3"/>
  <c r="E88" i="3" s="1"/>
  <c r="E69" i="3"/>
  <c r="E67" i="3"/>
  <c r="F23" i="9"/>
  <c r="D13" i="6"/>
  <c r="D9" i="6"/>
  <c r="B48" i="6"/>
  <c r="D35" i="4"/>
  <c r="D42" i="4" s="1"/>
  <c r="D32" i="4"/>
  <c r="B44" i="4"/>
  <c r="B48" i="4"/>
  <c r="C13" i="7"/>
  <c r="C19" i="7" s="1"/>
  <c r="C18" i="7"/>
  <c r="C10" i="7"/>
  <c r="C23" i="7"/>
  <c r="C12" i="7"/>
  <c r="C11" i="7"/>
  <c r="C17" i="7" s="1"/>
  <c r="F52" i="7"/>
  <c r="B68" i="7"/>
  <c r="F42" i="7"/>
  <c r="C49" i="7"/>
  <c r="C32" i="7"/>
  <c r="B66" i="6"/>
  <c r="B49" i="7"/>
  <c r="C58" i="3"/>
  <c r="C65" i="3" s="1"/>
  <c r="C55" i="3"/>
  <c r="C97" i="3"/>
  <c r="D39" i="10" l="1"/>
  <c r="C39" i="10"/>
  <c r="B47" i="10"/>
  <c r="J39" i="10"/>
  <c r="J40" i="10" s="1"/>
  <c r="K39" i="10"/>
  <c r="K40" i="10" s="1"/>
  <c r="G39" i="10"/>
  <c r="G40" i="10" s="1"/>
  <c r="H39" i="10"/>
  <c r="H40" i="10" s="1"/>
  <c r="I39" i="10"/>
  <c r="I40" i="10" s="1"/>
  <c r="L39" i="10"/>
  <c r="L40" i="10" s="1"/>
  <c r="E39" i="10"/>
  <c r="B35" i="11"/>
  <c r="C14" i="7"/>
  <c r="D16" i="6"/>
  <c r="E8" i="6"/>
  <c r="D8" i="7"/>
  <c r="F98" i="3"/>
  <c r="F74" i="3"/>
  <c r="F88" i="3" s="1"/>
  <c r="F69" i="3"/>
  <c r="F67" i="3"/>
  <c r="B81" i="9"/>
  <c r="C74" i="3"/>
  <c r="C88" i="3" s="1"/>
  <c r="C67" i="3"/>
  <c r="C98" i="3"/>
  <c r="C69" i="3"/>
  <c r="E100" i="3"/>
  <c r="E102" i="3" s="1"/>
  <c r="E90" i="3"/>
  <c r="C16" i="7"/>
  <c r="C20" i="7" s="1"/>
  <c r="D13" i="9"/>
  <c r="D44" i="4"/>
  <c r="D48" i="4"/>
  <c r="E10" i="8"/>
  <c r="E13" i="8"/>
  <c r="B98" i="3"/>
  <c r="B74" i="3"/>
  <c r="B88" i="3" s="1"/>
  <c r="B67" i="3"/>
  <c r="B69" i="3"/>
  <c r="E71" i="3"/>
  <c r="E99" i="3"/>
  <c r="E103" i="3" s="1"/>
  <c r="D98" i="3"/>
  <c r="D67" i="3"/>
  <c r="D69" i="3"/>
  <c r="D74" i="3"/>
  <c r="D88" i="3" s="1"/>
  <c r="B14" i="7"/>
  <c r="B16" i="7"/>
  <c r="C8" i="14" l="1"/>
  <c r="C19" i="13"/>
  <c r="C21" i="13" s="1"/>
  <c r="C22" i="13" s="1"/>
  <c r="C33" i="13" s="1"/>
  <c r="B8" i="14"/>
  <c r="D8" i="14" s="1"/>
  <c r="D16" i="14" s="1"/>
  <c r="B19" i="13"/>
  <c r="B21" i="13" s="1"/>
  <c r="B22" i="13" s="1"/>
  <c r="B33" i="13" s="1"/>
  <c r="D19" i="13"/>
  <c r="D21" i="13" s="1"/>
  <c r="D22" i="13" s="1"/>
  <c r="D33" i="13" s="1"/>
  <c r="B43" i="11"/>
  <c r="B44" i="11" s="1"/>
  <c r="D99" i="3"/>
  <c r="D103" i="3" s="1"/>
  <c r="D71" i="3"/>
  <c r="E15" i="8"/>
  <c r="E19" i="8"/>
  <c r="F19" i="8" s="1"/>
  <c r="F13" i="8"/>
  <c r="B71" i="3"/>
  <c r="B99" i="3"/>
  <c r="B103" i="3" s="1"/>
  <c r="C99" i="3"/>
  <c r="C103" i="3" s="1"/>
  <c r="C71" i="3"/>
  <c r="D18" i="7"/>
  <c r="D17" i="7"/>
  <c r="D19" i="7"/>
  <c r="D23" i="7"/>
  <c r="D16" i="7"/>
  <c r="D90" i="3"/>
  <c r="D100" i="3"/>
  <c r="D102" i="3" s="1"/>
  <c r="C100" i="3"/>
  <c r="C102" i="3" s="1"/>
  <c r="C90" i="3"/>
  <c r="F71" i="3"/>
  <c r="F103" i="3"/>
  <c r="B84" i="9"/>
  <c r="F100" i="3"/>
  <c r="F102" i="3" s="1"/>
  <c r="F90" i="3"/>
  <c r="B20" i="7"/>
  <c r="B90" i="3"/>
  <c r="B100" i="3"/>
  <c r="B102" i="3" s="1"/>
  <c r="E9" i="6"/>
  <c r="E13" i="6" s="1"/>
  <c r="D32" i="7"/>
  <c r="D49" i="7"/>
  <c r="F10" i="8"/>
  <c r="G8" i="8"/>
  <c r="C24" i="7"/>
  <c r="C25" i="7" s="1"/>
  <c r="C50" i="7"/>
  <c r="C54" i="7" s="1"/>
  <c r="C8" i="9" s="1"/>
  <c r="C15" i="9" s="1"/>
  <c r="C18" i="9" s="1"/>
  <c r="B46" i="11" l="1"/>
  <c r="B48" i="11" s="1"/>
  <c r="B50" i="11" s="1"/>
  <c r="B52" i="11"/>
  <c r="E16" i="6"/>
  <c r="E8" i="7"/>
  <c r="G8" i="6"/>
  <c r="F13" i="6"/>
  <c r="F8" i="7" s="1"/>
  <c r="F23" i="7" s="1"/>
  <c r="C21" i="9"/>
  <c r="C28" i="9" s="1"/>
  <c r="B74" i="9"/>
  <c r="C68" i="9"/>
  <c r="G13" i="8"/>
  <c r="C26" i="7"/>
  <c r="C28" i="7"/>
  <c r="C39" i="7"/>
  <c r="C45" i="7" s="1"/>
  <c r="B50" i="7"/>
  <c r="B54" i="7" s="1"/>
  <c r="B8" i="9" s="1"/>
  <c r="B24" i="7"/>
  <c r="B25" i="7" s="1"/>
  <c r="D20" i="7"/>
  <c r="E13" i="9"/>
  <c r="F13" i="9" s="1"/>
  <c r="B77" i="8"/>
  <c r="F15" i="8"/>
  <c r="G15" i="8" l="1"/>
  <c r="G19" i="8"/>
  <c r="D24" i="7"/>
  <c r="D25" i="7" s="1"/>
  <c r="D50" i="7"/>
  <c r="D54" i="7" s="1"/>
  <c r="D8" i="9" s="1"/>
  <c r="D15" i="9" s="1"/>
  <c r="D18" i="9" s="1"/>
  <c r="B26" i="7"/>
  <c r="B39" i="7"/>
  <c r="B45" i="7" s="1"/>
  <c r="B28" i="7"/>
  <c r="B15" i="9"/>
  <c r="B77" i="9"/>
  <c r="C32" i="9"/>
  <c r="C35" i="9"/>
  <c r="C42" i="9" s="1"/>
  <c r="C18" i="8"/>
  <c r="B60" i="7"/>
  <c r="B62" i="7" s="1"/>
  <c r="C46" i="7"/>
  <c r="G9" i="6"/>
  <c r="G13" i="6" s="1"/>
  <c r="E18" i="7"/>
  <c r="E17" i="7"/>
  <c r="E19" i="7"/>
  <c r="E16" i="7"/>
  <c r="E23" i="7"/>
  <c r="E32" i="7"/>
  <c r="E49" i="7"/>
  <c r="F16" i="6"/>
  <c r="G8" i="7" l="1"/>
  <c r="G16" i="6"/>
  <c r="H8" i="6"/>
  <c r="B18" i="8"/>
  <c r="B46" i="7"/>
  <c r="B57" i="7"/>
  <c r="B59" i="7" s="1"/>
  <c r="F13" i="7"/>
  <c r="F19" i="7"/>
  <c r="F18" i="7"/>
  <c r="F12" i="7"/>
  <c r="B18" i="9"/>
  <c r="B36" i="14"/>
  <c r="B15" i="12"/>
  <c r="B60" i="6"/>
  <c r="F49" i="7"/>
  <c r="B18" i="12"/>
  <c r="B39" i="12" s="1"/>
  <c r="F32" i="7"/>
  <c r="D21" i="9"/>
  <c r="D28" i="9" s="1"/>
  <c r="D26" i="7"/>
  <c r="D28" i="7"/>
  <c r="D39" i="7"/>
  <c r="D45" i="7" s="1"/>
  <c r="E20" i="7"/>
  <c r="F16" i="7"/>
  <c r="F10" i="7"/>
  <c r="F14" i="7" s="1"/>
  <c r="B80" i="9"/>
  <c r="C44" i="9"/>
  <c r="C46" i="9" s="1"/>
  <c r="C49" i="9"/>
  <c r="C58" i="9" s="1"/>
  <c r="F17" i="7"/>
  <c r="F11" i="7"/>
  <c r="B76" i="9"/>
  <c r="B73" i="9"/>
  <c r="B79" i="9"/>
  <c r="B82" i="9"/>
  <c r="G13" i="9"/>
  <c r="E50" i="7" l="1"/>
  <c r="E54" i="7" s="1"/>
  <c r="E8" i="9" s="1"/>
  <c r="E24" i="7"/>
  <c r="E25" i="7" s="1"/>
  <c r="D46" i="7"/>
  <c r="D18" i="8"/>
  <c r="B64" i="6"/>
  <c r="B65" i="6"/>
  <c r="H9" i="6"/>
  <c r="H13" i="6"/>
  <c r="B83" i="9"/>
  <c r="B85" i="9" s="1"/>
  <c r="C59" i="9"/>
  <c r="C61" i="9" s="1"/>
  <c r="C62" i="9"/>
  <c r="C63" i="9" s="1"/>
  <c r="C64" i="9" s="1"/>
  <c r="D35" i="9"/>
  <c r="D42" i="9" s="1"/>
  <c r="B68" i="9"/>
  <c r="B21" i="9"/>
  <c r="B71" i="9"/>
  <c r="G32" i="7"/>
  <c r="G49" i="7"/>
  <c r="F20" i="7"/>
  <c r="G19" i="7"/>
  <c r="G17" i="7"/>
  <c r="G16" i="7"/>
  <c r="G23" i="7"/>
  <c r="G18" i="7"/>
  <c r="B28" i="9" l="1"/>
  <c r="G20" i="7"/>
  <c r="D49" i="8"/>
  <c r="D22" i="8"/>
  <c r="F50" i="7"/>
  <c r="F54" i="7" s="1"/>
  <c r="F24" i="7"/>
  <c r="F25" i="7" s="1"/>
  <c r="H8" i="7"/>
  <c r="I8" i="6"/>
  <c r="H16" i="6"/>
  <c r="D49" i="9"/>
  <c r="D58" i="9" s="1"/>
  <c r="D44" i="9"/>
  <c r="E26" i="7"/>
  <c r="E39" i="7"/>
  <c r="E45" i="7" s="1"/>
  <c r="E28" i="7"/>
  <c r="E15" i="9"/>
  <c r="F8" i="9"/>
  <c r="D62" i="9" l="1"/>
  <c r="F28" i="7"/>
  <c r="F39" i="7"/>
  <c r="F45" i="7" s="1"/>
  <c r="F26" i="7"/>
  <c r="H49" i="7"/>
  <c r="H32" i="7"/>
  <c r="D25" i="8"/>
  <c r="I13" i="6"/>
  <c r="I9" i="6"/>
  <c r="E18" i="9"/>
  <c r="F15" i="9"/>
  <c r="H16" i="7"/>
  <c r="H23" i="7"/>
  <c r="H18" i="7"/>
  <c r="H17" i="7"/>
  <c r="H19" i="7"/>
  <c r="G24" i="7"/>
  <c r="G25" i="7" s="1"/>
  <c r="G50" i="7"/>
  <c r="G54" i="7" s="1"/>
  <c r="G8" i="9" s="1"/>
  <c r="E18" i="8"/>
  <c r="E46" i="7"/>
  <c r="B35" i="9"/>
  <c r="B32" i="9"/>
  <c r="D33" i="8" l="1"/>
  <c r="B42" i="9"/>
  <c r="H20" i="7"/>
  <c r="B37" i="14"/>
  <c r="B16" i="12"/>
  <c r="F18" i="8"/>
  <c r="F49" i="8" s="1"/>
  <c r="F46" i="7"/>
  <c r="B64" i="7"/>
  <c r="B67" i="7" s="1"/>
  <c r="E21" i="9"/>
  <c r="F18" i="9"/>
  <c r="G28" i="7"/>
  <c r="G39" i="7"/>
  <c r="G45" i="7" s="1"/>
  <c r="G26" i="7"/>
  <c r="E49" i="8"/>
  <c r="E22" i="8"/>
  <c r="G15" i="9"/>
  <c r="J8" i="6"/>
  <c r="I8" i="7"/>
  <c r="I16" i="6"/>
  <c r="G18" i="9" l="1"/>
  <c r="B17" i="12"/>
  <c r="B34" i="12"/>
  <c r="B40" i="12" s="1"/>
  <c r="B29" i="12"/>
  <c r="B37" i="12" s="1"/>
  <c r="G18" i="8"/>
  <c r="G46" i="7"/>
  <c r="F22" i="8"/>
  <c r="I49" i="7"/>
  <c r="I32" i="7"/>
  <c r="H24" i="7"/>
  <c r="H25" i="7" s="1"/>
  <c r="H50" i="7"/>
  <c r="H54" i="7" s="1"/>
  <c r="H8" i="9" s="1"/>
  <c r="I16" i="7"/>
  <c r="I23" i="7"/>
  <c r="I17" i="7"/>
  <c r="I18" i="7"/>
  <c r="I19" i="7"/>
  <c r="E28" i="9"/>
  <c r="F21" i="9"/>
  <c r="D36" i="8"/>
  <c r="J9" i="6"/>
  <c r="J13" i="6"/>
  <c r="B44" i="9"/>
  <c r="B49" i="9"/>
  <c r="B58" i="9" l="1"/>
  <c r="B46" i="9"/>
  <c r="L8" i="6"/>
  <c r="J8" i="7"/>
  <c r="J16" i="6"/>
  <c r="K13" i="6"/>
  <c r="K8" i="7" s="1"/>
  <c r="K23" i="7" s="1"/>
  <c r="I20" i="7"/>
  <c r="G22" i="8"/>
  <c r="G49" i="8"/>
  <c r="H39" i="7"/>
  <c r="H45" i="7" s="1"/>
  <c r="H28" i="7"/>
  <c r="H26" i="7"/>
  <c r="D40" i="8"/>
  <c r="G21" i="9"/>
  <c r="E35" i="9"/>
  <c r="F28" i="9"/>
  <c r="D41" i="8" l="1"/>
  <c r="D53" i="8"/>
  <c r="D45" i="8"/>
  <c r="I24" i="7"/>
  <c r="I25" i="7" s="1"/>
  <c r="I50" i="7"/>
  <c r="I54" i="7" s="1"/>
  <c r="I8" i="9" s="1"/>
  <c r="J32" i="7"/>
  <c r="J49" i="7"/>
  <c r="K16" i="6"/>
  <c r="J18" i="7"/>
  <c r="J23" i="7"/>
  <c r="J17" i="7"/>
  <c r="J19" i="7"/>
  <c r="J16" i="7"/>
  <c r="G28" i="9"/>
  <c r="B62" i="9"/>
  <c r="B59" i="9"/>
  <c r="B61" i="9" s="1"/>
  <c r="H18" i="8"/>
  <c r="H46" i="7"/>
  <c r="L9" i="6"/>
  <c r="L13" i="6"/>
  <c r="E42" i="9"/>
  <c r="F35" i="9"/>
  <c r="B63" i="9" l="1"/>
  <c r="B64" i="9" s="1"/>
  <c r="K12" i="7"/>
  <c r="K18" i="7"/>
  <c r="K49" i="7"/>
  <c r="K17" i="6"/>
  <c r="K32" i="7"/>
  <c r="E44" i="9"/>
  <c r="E49" i="9"/>
  <c r="F42" i="9"/>
  <c r="L16" i="6"/>
  <c r="L8" i="7"/>
  <c r="M8" i="6"/>
  <c r="G35" i="9"/>
  <c r="I39" i="7"/>
  <c r="I45" i="7" s="1"/>
  <c r="I26" i="7"/>
  <c r="I28" i="7"/>
  <c r="H49" i="8"/>
  <c r="J20" i="7"/>
  <c r="K10" i="7"/>
  <c r="K14" i="7" s="1"/>
  <c r="K16" i="7"/>
  <c r="K20" i="7" s="1"/>
  <c r="E44" i="8"/>
  <c r="D48" i="8"/>
  <c r="D50" i="8" s="1"/>
  <c r="K13" i="7"/>
  <c r="K19" i="7"/>
  <c r="D55" i="8"/>
  <c r="K17" i="7"/>
  <c r="K11" i="7"/>
  <c r="I18" i="8" l="1"/>
  <c r="I46" i="7"/>
  <c r="E58" i="9"/>
  <c r="F49" i="9"/>
  <c r="F44" i="9"/>
  <c r="K50" i="7"/>
  <c r="K24" i="7"/>
  <c r="K25" i="7" s="1"/>
  <c r="J50" i="7"/>
  <c r="J54" i="7" s="1"/>
  <c r="J8" i="9" s="1"/>
  <c r="J24" i="7"/>
  <c r="J25" i="7" s="1"/>
  <c r="G42" i="9"/>
  <c r="K54" i="7"/>
  <c r="E52" i="8"/>
  <c r="D58" i="8"/>
  <c r="M9" i="6"/>
  <c r="M13" i="6" s="1"/>
  <c r="L19" i="7"/>
  <c r="L23" i="7"/>
  <c r="L16" i="7"/>
  <c r="L18" i="7"/>
  <c r="L17" i="7"/>
  <c r="L17" i="6"/>
  <c r="L32" i="7"/>
  <c r="L49" i="7"/>
  <c r="M16" i="6" l="1"/>
  <c r="M8" i="7"/>
  <c r="N8" i="6"/>
  <c r="G44" i="9"/>
  <c r="G49" i="9"/>
  <c r="K39" i="7"/>
  <c r="K45" i="7" s="1"/>
  <c r="K28" i="7"/>
  <c r="K26" i="7"/>
  <c r="E62" i="9"/>
  <c r="F58" i="9"/>
  <c r="L20" i="7"/>
  <c r="J39" i="7"/>
  <c r="J45" i="7" s="1"/>
  <c r="J28" i="7"/>
  <c r="J26" i="7"/>
  <c r="D60" i="8"/>
  <c r="E24" i="8"/>
  <c r="K8" i="9"/>
  <c r="I49" i="8"/>
  <c r="J18" i="8" l="1"/>
  <c r="J46" i="7"/>
  <c r="G58" i="9"/>
  <c r="D45" i="9"/>
  <c r="D62" i="8"/>
  <c r="D31" i="9" s="1"/>
  <c r="C30" i="10"/>
  <c r="C36" i="10" s="1"/>
  <c r="K46" i="7"/>
  <c r="K18" i="8"/>
  <c r="K49" i="8" s="1"/>
  <c r="L50" i="7"/>
  <c r="L54" i="7" s="1"/>
  <c r="L8" i="9" s="1"/>
  <c r="L24" i="7"/>
  <c r="L25" i="7" s="1"/>
  <c r="N9" i="6"/>
  <c r="N13" i="6" s="1"/>
  <c r="F62" i="9"/>
  <c r="F24" i="8"/>
  <c r="E25" i="8"/>
  <c r="M17" i="7"/>
  <c r="M19" i="7"/>
  <c r="M18" i="7"/>
  <c r="M23" i="7"/>
  <c r="M16" i="7"/>
  <c r="M49" i="7"/>
  <c r="M32" i="7"/>
  <c r="M17" i="6"/>
  <c r="N16" i="6" l="1"/>
  <c r="N8" i="7"/>
  <c r="E33" i="8"/>
  <c r="F25" i="8"/>
  <c r="C40" i="10"/>
  <c r="D67" i="9"/>
  <c r="D68" i="9" s="1"/>
  <c r="D32" i="9"/>
  <c r="D59" i="9"/>
  <c r="D61" i="9" s="1"/>
  <c r="D46" i="9"/>
  <c r="D63" i="9"/>
  <c r="D64" i="9" s="1"/>
  <c r="M20" i="7"/>
  <c r="G62" i="9"/>
  <c r="L26" i="7"/>
  <c r="L39" i="7"/>
  <c r="L45" i="7" s="1"/>
  <c r="L28" i="7"/>
  <c r="J49" i="8"/>
  <c r="D30" i="10" l="1"/>
  <c r="D36" i="10" s="1"/>
  <c r="L46" i="7"/>
  <c r="L18" i="8"/>
  <c r="E36" i="8"/>
  <c r="F33" i="8"/>
  <c r="N19" i="7"/>
  <c r="N18" i="7"/>
  <c r="N17" i="7"/>
  <c r="N23" i="7"/>
  <c r="N16" i="7"/>
  <c r="M24" i="7"/>
  <c r="M25" i="7" s="1"/>
  <c r="M50" i="7"/>
  <c r="M54" i="7" s="1"/>
  <c r="M8" i="9" s="1"/>
  <c r="N49" i="7"/>
  <c r="N32" i="7"/>
  <c r="N17" i="6"/>
  <c r="L49" i="8" l="1"/>
  <c r="E40" i="8"/>
  <c r="F36" i="8"/>
  <c r="M39" i="7"/>
  <c r="M45" i="7" s="1"/>
  <c r="M28" i="7"/>
  <c r="M26" i="7"/>
  <c r="N20" i="7"/>
  <c r="D40" i="10"/>
  <c r="N24" i="7" l="1"/>
  <c r="N25" i="7" s="1"/>
  <c r="N50" i="7"/>
  <c r="N54" i="7" s="1"/>
  <c r="N8" i="9" s="1"/>
  <c r="M18" i="8"/>
  <c r="E30" i="10"/>
  <c r="E36" i="10" s="1"/>
  <c r="M46" i="7"/>
  <c r="E41" i="8"/>
  <c r="E53" i="8"/>
  <c r="F40" i="8"/>
  <c r="E45" i="8"/>
  <c r="F45" i="8" l="1"/>
  <c r="G44" i="8"/>
  <c r="E48" i="8"/>
  <c r="F53" i="8"/>
  <c r="E55" i="8"/>
  <c r="E40" i="10"/>
  <c r="M49" i="8"/>
  <c r="N26" i="7"/>
  <c r="N39" i="7"/>
  <c r="N45" i="7" s="1"/>
  <c r="N28" i="7"/>
  <c r="B67" i="10" l="1"/>
  <c r="G52" i="8"/>
  <c r="F55" i="8"/>
  <c r="E58" i="8"/>
  <c r="B64" i="10"/>
  <c r="E50" i="8"/>
  <c r="F48" i="8"/>
  <c r="F50" i="8" s="1"/>
  <c r="F30" i="10"/>
  <c r="N46" i="7"/>
  <c r="N18" i="8"/>
  <c r="F36" i="10" l="1"/>
  <c r="B54" i="10"/>
  <c r="B56" i="10" s="1"/>
  <c r="C28" i="13"/>
  <c r="B28" i="13"/>
  <c r="D28" i="13"/>
  <c r="E60" i="8"/>
  <c r="F58" i="8"/>
  <c r="F60" i="8" s="1"/>
  <c r="K52" i="8"/>
  <c r="G24" i="8"/>
  <c r="N49" i="8"/>
  <c r="F45" i="9" l="1"/>
  <c r="F62" i="8"/>
  <c r="F31" i="9" s="1"/>
  <c r="E62" i="8"/>
  <c r="E31" i="9" s="1"/>
  <c r="E45" i="9"/>
  <c r="B46" i="10"/>
  <c r="B48" i="10" s="1"/>
  <c r="B62" i="10" s="1"/>
  <c r="G25" i="8"/>
  <c r="B57" i="10"/>
  <c r="B58" i="10"/>
  <c r="F40" i="10"/>
  <c r="B61" i="10" s="1"/>
  <c r="C7" i="14"/>
  <c r="B7" i="14"/>
  <c r="G33" i="8" l="1"/>
  <c r="E46" i="9"/>
  <c r="E59" i="9"/>
  <c r="E61" i="9" s="1"/>
  <c r="E63" i="9"/>
  <c r="E64" i="9" s="1"/>
  <c r="D27" i="13"/>
  <c r="D29" i="13" s="1"/>
  <c r="D30" i="13" s="1"/>
  <c r="D34" i="13" s="1"/>
  <c r="D35" i="13" s="1"/>
  <c r="B27" i="13"/>
  <c r="B29" i="13" s="1"/>
  <c r="B30" i="13" s="1"/>
  <c r="B34" i="13" s="1"/>
  <c r="B35" i="13" s="1"/>
  <c r="B72" i="10"/>
  <c r="B63" i="10"/>
  <c r="B66" i="10" s="1"/>
  <c r="B68" i="10" s="1"/>
  <c r="E67" i="9"/>
  <c r="E68" i="9" s="1"/>
  <c r="E32" i="9"/>
  <c r="F67" i="9"/>
  <c r="F68" i="9" s="1"/>
  <c r="B95" i="9" s="1"/>
  <c r="B98" i="9" s="1"/>
  <c r="F32" i="9"/>
  <c r="B91" i="9" s="1"/>
  <c r="B94" i="9" s="1"/>
  <c r="C27" i="13"/>
  <c r="C29" i="13" s="1"/>
  <c r="C30" i="13" s="1"/>
  <c r="C34" i="13" s="1"/>
  <c r="C35" i="13" s="1"/>
  <c r="C37" i="13" s="1"/>
  <c r="D7" i="14"/>
  <c r="F46" i="9"/>
  <c r="F59" i="9"/>
  <c r="F61" i="9" s="1"/>
  <c r="F63" i="9"/>
  <c r="B70" i="10" l="1"/>
  <c r="C15" i="14"/>
  <c r="D15" i="14" s="1"/>
  <c r="B101" i="9"/>
  <c r="B41" i="14"/>
  <c r="B20" i="12"/>
  <c r="B31" i="12" s="1"/>
  <c r="F64" i="9"/>
  <c r="B42" i="14" s="1"/>
  <c r="B11" i="14"/>
  <c r="D11" i="14" s="1"/>
  <c r="B29" i="14"/>
  <c r="B31" i="14" s="1"/>
  <c r="B37" i="13"/>
  <c r="B87" i="9"/>
  <c r="B90" i="9" s="1"/>
  <c r="B38" i="14"/>
  <c r="B19" i="12"/>
  <c r="B30" i="12" s="1"/>
  <c r="C11" i="14"/>
  <c r="B30" i="14"/>
  <c r="B32" i="14" s="1"/>
  <c r="D37" i="13"/>
  <c r="G36" i="8"/>
  <c r="G39" i="8" l="1"/>
  <c r="B33" i="14"/>
  <c r="G9" i="8" l="1"/>
  <c r="G40" i="8"/>
  <c r="G41" i="8" s="1"/>
  <c r="G45" i="8" l="1"/>
  <c r="G10" i="8"/>
  <c r="G53" i="8"/>
  <c r="G55" i="8" l="1"/>
  <c r="G48" i="8"/>
  <c r="G50" i="8" s="1"/>
  <c r="H8" i="8"/>
  <c r="H44" i="8"/>
  <c r="H13" i="8" l="1"/>
  <c r="H52" i="8"/>
  <c r="G58" i="8"/>
  <c r="H24" i="8" l="1"/>
  <c r="G60" i="8"/>
  <c r="H19" i="8"/>
  <c r="H15" i="8"/>
  <c r="H13" i="9" l="1"/>
  <c r="H22" i="8"/>
  <c r="G45" i="9"/>
  <c r="G62" i="8"/>
  <c r="G31" i="9" s="1"/>
  <c r="G67" i="9" l="1"/>
  <c r="G68" i="9" s="1"/>
  <c r="G32" i="9"/>
  <c r="H25" i="8"/>
  <c r="G46" i="9"/>
  <c r="G59" i="9"/>
  <c r="G61" i="9" s="1"/>
  <c r="G63" i="9"/>
  <c r="G64" i="9" s="1"/>
  <c r="H15" i="9"/>
  <c r="H18" i="9" l="1"/>
  <c r="H33" i="8"/>
  <c r="H36" i="8" l="1"/>
  <c r="H21" i="9"/>
  <c r="H28" i="9" l="1"/>
  <c r="H39" i="8"/>
  <c r="H9" i="8" l="1"/>
  <c r="H40" i="8"/>
  <c r="H35" i="9"/>
  <c r="H42" i="9" l="1"/>
  <c r="H53" i="8"/>
  <c r="H45" i="8"/>
  <c r="H10" i="8"/>
  <c r="H41" i="8"/>
  <c r="I8" i="8" l="1"/>
  <c r="H48" i="8"/>
  <c r="H50" i="8" s="1"/>
  <c r="I44" i="8"/>
  <c r="H55" i="8"/>
  <c r="H44" i="9"/>
  <c r="H49" i="9"/>
  <c r="H58" i="9" l="1"/>
  <c r="I52" i="8"/>
  <c r="H58" i="8"/>
  <c r="I13" i="8"/>
  <c r="H60" i="8" l="1"/>
  <c r="I19" i="8"/>
  <c r="I15" i="8"/>
  <c r="I24" i="8"/>
  <c r="H62" i="9"/>
  <c r="I13" i="9" l="1"/>
  <c r="I22" i="8"/>
  <c r="H62" i="8"/>
  <c r="H31" i="9" s="1"/>
  <c r="H45" i="9"/>
  <c r="H67" i="9" l="1"/>
  <c r="H68" i="9" s="1"/>
  <c r="H32" i="9"/>
  <c r="I25" i="8"/>
  <c r="H46" i="9"/>
  <c r="H59" i="9"/>
  <c r="H61" i="9" s="1"/>
  <c r="I15" i="9"/>
  <c r="H63" i="9"/>
  <c r="H64" i="9" s="1"/>
  <c r="I18" i="9" l="1"/>
  <c r="I33" i="8"/>
  <c r="I36" i="8" l="1"/>
  <c r="I21" i="9"/>
  <c r="I28" i="9" l="1"/>
  <c r="I39" i="8"/>
  <c r="I9" i="8" l="1"/>
  <c r="I40" i="8"/>
  <c r="I35" i="9"/>
  <c r="I42" i="9" l="1"/>
  <c r="I53" i="8"/>
  <c r="I45" i="8"/>
  <c r="I10" i="8"/>
  <c r="I41" i="8"/>
  <c r="J8" i="8" l="1"/>
  <c r="I48" i="8"/>
  <c r="I50" i="8" s="1"/>
  <c r="J44" i="8"/>
  <c r="I55" i="8"/>
  <c r="I44" i="9"/>
  <c r="I49" i="9"/>
  <c r="I58" i="9" l="1"/>
  <c r="J52" i="8"/>
  <c r="I58" i="8"/>
  <c r="J13" i="8"/>
  <c r="J19" i="8" l="1"/>
  <c r="J15" i="8"/>
  <c r="K13" i="8"/>
  <c r="I60" i="8"/>
  <c r="J24" i="8"/>
  <c r="K24" i="8" s="1"/>
  <c r="I62" i="9"/>
  <c r="J22" i="8" l="1"/>
  <c r="K19" i="8"/>
  <c r="I62" i="8"/>
  <c r="I31" i="9" s="1"/>
  <c r="I45" i="9"/>
  <c r="J13" i="9"/>
  <c r="K15" i="8"/>
  <c r="J15" i="9" l="1"/>
  <c r="K13" i="9"/>
  <c r="I46" i="9"/>
  <c r="I59" i="9"/>
  <c r="I61" i="9" s="1"/>
  <c r="I67" i="9"/>
  <c r="I68" i="9" s="1"/>
  <c r="I32" i="9"/>
  <c r="I63" i="9"/>
  <c r="I64" i="9" s="1"/>
  <c r="J25" i="8"/>
  <c r="K22" i="8"/>
  <c r="J33" i="8" l="1"/>
  <c r="K25" i="8"/>
  <c r="J18" i="9"/>
  <c r="K15" i="9"/>
  <c r="J21" i="9" l="1"/>
  <c r="K18" i="9"/>
  <c r="J36" i="8"/>
  <c r="K33" i="8"/>
  <c r="J39" i="8" l="1"/>
  <c r="J40" i="8"/>
  <c r="K36" i="8"/>
  <c r="J28" i="9"/>
  <c r="K21" i="9"/>
  <c r="J35" i="9" l="1"/>
  <c r="K28" i="9"/>
  <c r="J53" i="8"/>
  <c r="K40" i="8"/>
  <c r="J9" i="8"/>
  <c r="J41" i="8"/>
  <c r="K39" i="8"/>
  <c r="J45" i="8"/>
  <c r="L44" i="8" l="1"/>
  <c r="K45" i="8"/>
  <c r="K9" i="8"/>
  <c r="J10" i="8"/>
  <c r="K53" i="8"/>
  <c r="J55" i="8"/>
  <c r="J42" i="9"/>
  <c r="K35" i="9"/>
  <c r="J49" i="9" l="1"/>
  <c r="J44" i="9"/>
  <c r="K42" i="9"/>
  <c r="L52" i="8"/>
  <c r="K55" i="8"/>
  <c r="J58" i="8"/>
  <c r="K10" i="8"/>
  <c r="J48" i="8"/>
  <c r="L8" i="8"/>
  <c r="L13" i="8" l="1"/>
  <c r="K48" i="8"/>
  <c r="K50" i="8" s="1"/>
  <c r="J50" i="8"/>
  <c r="J60" i="8"/>
  <c r="K58" i="8"/>
  <c r="K60" i="8" s="1"/>
  <c r="L24" i="8"/>
  <c r="K44" i="9"/>
  <c r="J58" i="9"/>
  <c r="K49" i="9"/>
  <c r="K62" i="8" l="1"/>
  <c r="K31" i="9" s="1"/>
  <c r="K45" i="9"/>
  <c r="J45" i="9"/>
  <c r="J46" i="9" s="1"/>
  <c r="J62" i="8"/>
  <c r="J31" i="9" s="1"/>
  <c r="J62" i="9"/>
  <c r="J59" i="9"/>
  <c r="J61" i="9" s="1"/>
  <c r="K58" i="9"/>
  <c r="K59" i="9" s="1"/>
  <c r="K61" i="9" s="1"/>
  <c r="K46" i="9"/>
  <c r="L19" i="8"/>
  <c r="L22" i="8" s="1"/>
  <c r="L25" i="8" s="1"/>
  <c r="L15" i="8"/>
  <c r="L13" i="9" s="1"/>
  <c r="L15" i="9" s="1"/>
  <c r="L18" i="9" s="1"/>
  <c r="L33" i="8" l="1"/>
  <c r="L36" i="8" s="1"/>
  <c r="B40" i="14"/>
  <c r="B39" i="14"/>
  <c r="C9" i="14"/>
  <c r="B9" i="14"/>
  <c r="D9" i="14" s="1"/>
  <c r="C17" i="14" s="1"/>
  <c r="D17" i="14" s="1"/>
  <c r="B26" i="12"/>
  <c r="B24" i="12"/>
  <c r="B100" i="9"/>
  <c r="B99" i="9"/>
  <c r="J63" i="9"/>
  <c r="J64" i="9" s="1"/>
  <c r="K62" i="9"/>
  <c r="K63" i="9" s="1"/>
  <c r="J67" i="9"/>
  <c r="J68" i="9" s="1"/>
  <c r="J32" i="9"/>
  <c r="L21" i="9"/>
  <c r="L28" i="9" s="1"/>
  <c r="K67" i="9"/>
  <c r="K68" i="9" s="1"/>
  <c r="K32" i="9"/>
  <c r="L35" i="9" l="1"/>
  <c r="L42" i="9" s="1"/>
  <c r="C10" i="14"/>
  <c r="B10" i="14"/>
  <c r="D10" i="14" s="1"/>
  <c r="C18" i="14" s="1"/>
  <c r="D18" i="14" s="1"/>
  <c r="D20" i="14" s="1"/>
  <c r="B23" i="14" s="1"/>
  <c r="B25" i="14" s="1"/>
  <c r="B27" i="14" s="1"/>
  <c r="B25" i="12"/>
  <c r="B32" i="12" s="1"/>
  <c r="B38" i="12" s="1"/>
  <c r="B103" i="9"/>
  <c r="B102" i="9"/>
  <c r="K64" i="9"/>
  <c r="L39" i="8"/>
  <c r="L9" i="8" l="1"/>
  <c r="L10" i="8" s="1"/>
  <c r="L44" i="9"/>
  <c r="L49" i="9"/>
  <c r="L58" i="9" s="1"/>
  <c r="L40" i="8"/>
  <c r="L41" i="8" s="1"/>
  <c r="L62" i="9" l="1"/>
  <c r="L53" i="8"/>
  <c r="L55" i="8" s="1"/>
  <c r="L45" i="8"/>
  <c r="M8" i="8"/>
  <c r="M44" i="8" l="1"/>
  <c r="M13" i="8"/>
  <c r="L48" i="8"/>
  <c r="L50" i="8" s="1"/>
  <c r="M52" i="8"/>
  <c r="L58" i="8"/>
  <c r="L60" i="8" s="1"/>
  <c r="M24" i="8" l="1"/>
  <c r="M19" i="8"/>
  <c r="M22" i="8" s="1"/>
  <c r="M25" i="8" s="1"/>
  <c r="M33" i="8" s="1"/>
  <c r="M36" i="8" s="1"/>
  <c r="M15" i="8"/>
  <c r="M13" i="9" s="1"/>
  <c r="M15" i="9" s="1"/>
  <c r="M18" i="9" s="1"/>
  <c r="L45" i="9"/>
  <c r="L62" i="8"/>
  <c r="L31" i="9" s="1"/>
  <c r="L67" i="9" l="1"/>
  <c r="L68" i="9" s="1"/>
  <c r="L32" i="9"/>
  <c r="M21" i="9"/>
  <c r="M28" i="9" s="1"/>
  <c r="L59" i="9"/>
  <c r="L61" i="9" s="1"/>
  <c r="L46" i="9"/>
  <c r="L63" i="9"/>
  <c r="L64" i="9" s="1"/>
  <c r="M39" i="8"/>
  <c r="M40" i="8"/>
  <c r="M53" i="8" l="1"/>
  <c r="M55" i="8" s="1"/>
  <c r="M9" i="8"/>
  <c r="M10" i="8" s="1"/>
  <c r="M41" i="8"/>
  <c r="M45" i="8"/>
  <c r="M35" i="9"/>
  <c r="M42" i="9" s="1"/>
  <c r="M44" i="9" l="1"/>
  <c r="M49" i="9"/>
  <c r="M58" i="9" s="1"/>
  <c r="N44" i="8"/>
  <c r="M48" i="8"/>
  <c r="M50" i="8" s="1"/>
  <c r="N8" i="8"/>
  <c r="N52" i="8"/>
  <c r="M58" i="8"/>
  <c r="M60" i="8" s="1"/>
  <c r="M62" i="8" l="1"/>
  <c r="M31" i="9" s="1"/>
  <c r="M45" i="9"/>
  <c r="M59" i="9" s="1"/>
  <c r="M61" i="9" s="1"/>
  <c r="N24" i="8"/>
  <c r="N13" i="8"/>
  <c r="M62" i="9"/>
  <c r="M63" i="9" s="1"/>
  <c r="M64" i="9" s="1"/>
  <c r="M46" i="9"/>
  <c r="N19" i="8" l="1"/>
  <c r="N22" i="8" s="1"/>
  <c r="N25" i="8" s="1"/>
  <c r="N15" i="8"/>
  <c r="N13" i="9" s="1"/>
  <c r="N15" i="9" s="1"/>
  <c r="N18" i="9" s="1"/>
  <c r="M67" i="9"/>
  <c r="M68" i="9" s="1"/>
  <c r="M32" i="9"/>
  <c r="N21" i="9" l="1"/>
  <c r="N28" i="9" s="1"/>
  <c r="N33" i="8"/>
  <c r="N36" i="8" s="1"/>
  <c r="N39" i="8" l="1"/>
  <c r="N35" i="9"/>
  <c r="N42" i="9" s="1"/>
  <c r="N49" i="9" l="1"/>
  <c r="N58" i="9" s="1"/>
  <c r="N44" i="9"/>
  <c r="N9" i="8"/>
  <c r="N10" i="8" s="1"/>
  <c r="N40" i="8"/>
  <c r="N53" i="8" l="1"/>
  <c r="N55" i="8" s="1"/>
  <c r="B81" i="8"/>
  <c r="B45" i="14" s="1"/>
  <c r="N45" i="8"/>
  <c r="B84" i="8" s="1"/>
  <c r="N41" i="8"/>
  <c r="N62" i="9"/>
  <c r="B80" i="8" l="1"/>
  <c r="B44" i="14" s="1"/>
  <c r="N58" i="8"/>
  <c r="N60" i="8" s="1"/>
  <c r="N48" i="8"/>
  <c r="N50" i="8" s="1"/>
  <c r="B82" i="8" s="1"/>
  <c r="B43" i="14" s="1"/>
  <c r="N62" i="8" l="1"/>
  <c r="N31" i="9" s="1"/>
  <c r="N45" i="9"/>
  <c r="N46" i="9" l="1"/>
  <c r="N59" i="9"/>
  <c r="N61" i="9" s="1"/>
  <c r="N63" i="9"/>
  <c r="N64" i="9" s="1"/>
  <c r="N67" i="9"/>
  <c r="N68" i="9" s="1"/>
  <c r="N3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tc={F4A94BFB-BABD-CA41-A52D-8B0D13A72227}</author>
  </authors>
  <commentList>
    <comment ref="A55" authorId="0" shapeId="0" xr:uid="{F4A94BFB-BABD-CA41-A52D-8B0D13A72227}">
      <text>
        <t>[Threaded comment]
Your version of Excel allows you to read this threaded comment; however, any edits to it will get removed if the file is opened in a newer version of Excel. Learn more: https://go.microsoft.com/fwlink/?linkid=870924
Comment:
    something to monitor</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tc={A9BDE11F-D4EA-9446-8AAC-45C4EFB1B7DD}</author>
  </authors>
  <commentList>
    <comment ref="L29" authorId="0" shapeId="0" xr:uid="{A9BDE11F-D4EA-9446-8AAC-45C4EFB1B7DD}">
      <text>
        <t xml:space="preserve">[Threaded comment]
Your version of Excel allows you to read this threaded comment; however, any edits to it will get removed if the file is opened in a newer version of Excel. Learn more: https://go.microsoft.com/fwlink/?linkid=870924
Comment:
    Terminal value falls from 97% to 82% of EV. Value per share moves only $221.04 to $224.30 and the weighted target from $204.66 to $205.60, confirming the concentration reflected the build cycle rather than a modelling distortion. FY31-36 assumes EBITDA growth fading 7.0% to 4.0% and development capex fading $3.6bn to $2.2bn as the 1.4 GW pipeline delivers.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tc={F70C901A-2D3F-9F4E-9359-C91137D736B9}</author>
  </authors>
  <commentList>
    <comment ref="D32" authorId="0" shapeId="0" xr:uid="{F70C901A-2D3F-9F4E-9359-C91137D736B9}">
      <text>
        <t xml:space="preserve">[Threaded comment]
Your version of Excel allows you to read this threaded comment; however, any edits to it will get removed if the file is opened in a newer version of Excel. Learn more: https://go.microsoft.com/fwlink/?linkid=870924
Comment:
    Renewal spreads are 10% (guidance midpoint), but only 22% of the rent roll comes up for renewal in any given year. The other 78% is locked into existing contracts and does not reprice.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tc={047A9BCD-DBE9-4048-B5FF-65C023580900}</author>
    <author>tc={579B4600-03EA-3E44-AB01-645B61AFD2C3}</author>
    <author>tc={82CBF35F-B5BB-4946-B48A-F080C6292368}</author>
    <author>tc={4B0F4022-5989-2D4D-BDEE-39C73B2C45B8}</author>
  </authors>
  <commentList>
    <comment ref="F13" authorId="0" shapeId="0" xr:uid="{047A9BCD-DBE9-4048-B5FF-65C023580900}">
      <text>
        <t>[Threaded comment]
Your version of Excel allows you to read this threaded comment; however, any edits to it will get removed if the file is opened in a newer version of Excel. Learn more: https://go.microsoft.com/fwlink/?linkid=870924
Comment:
    $201m gross promote from the Blackstone JV buy-in. Underlying fee income was ~$48m.</t>
      </text>
    </comment>
    <comment ref="F18" authorId="1" shapeId="0" xr:uid="{579B4600-03EA-3E44-AB01-645B61AFD2C3}">
      <text>
        <t>[Threaded comment]
Your version of Excel allows you to read this threaded comment; however, any edits to it will get removed if the file is opened in a newer version of Excel. Learn more: https://go.microsoft.com/fwlink/?linkid=870924
Comment:
    $396,454k against $352,897k reimbursed. DLR recovers about 89% of power cost. The $43.6m gap is the unrecovered portion.</t>
      </text>
    </comment>
    <comment ref="B31" authorId="2" shapeId="0" xr:uid="{82CBF35F-B5BB-4946-B48A-F080C6292368}">
      <text>
        <t>[Threaded comment]
Your version of Excel allows you to read this threaded comment; however, any edits to it will get removed if the file is opened in a newer version of Excel. Learn more: https://go.microsoft.com/fwlink/?linkid=870924
Comment:
    Reason for $1.05bn Net Income in 2Q25. No earnings collapsed.</t>
      </text>
    </comment>
    <comment ref="A53" authorId="3" shapeId="0" xr:uid="{4B0F4022-5989-2D4D-BDEE-39C73B2C45B8}">
      <text>
        <t xml:space="preserve">[Threaded comment]
Your version of Excel allows you to read this threaded comment; however, any edits to it will get removed if the file is opened in a newer version of Excel. Learn more: https://go.microsoft.com/fwlink/?linkid=870924
Comment:
    Nareit created FFO in 1991 to undo the distortion: Real estate Depreciation &gt; Net Income to common. Depreciation assumes a wasting asset; real estate usually appreciates.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<sst xmlns="http://schemas.openxmlformats.org/spreadsheetml/2006/main" count="1493" uniqueCount="1204">
  <si>
    <t>DIGITAL REALTY TRUST (NYSE: DLR) — EQUITY VALUATION MODEL</t>
  </si>
  <si>
    <t>Tab 1 of 11: Historical foundation. Built 4 August 2026.</t>
  </si>
  <si>
    <t>PURPOSE</t>
  </si>
  <si>
    <t>This workbook contains the historical data foundation only. Data extraction has been done for you;</t>
  </si>
  <si>
    <t>the projection, valuation and scenario tabs are yours to build.</t>
  </si>
  <si>
    <t>COLOR CONVENTION</t>
  </si>
  <si>
    <t>Blue text = hardcoded input taken directly from a filing</t>
  </si>
  <si>
    <t>Black text = formula calculated within the sheet</t>
  </si>
  <si>
    <t>Green text = link to another worksheet</t>
  </si>
  <si>
    <t>Yellow fill = check row. Every check must read zero.</t>
  </si>
  <si>
    <t>SOURCES</t>
  </si>
  <si>
    <t>Quarterly income statement.......... Q2 2026 Financial Supplement (Form 8-K filed 23-Jul-2026), page 12</t>
  </si>
  <si>
    <t>FFO / Core FFO reconciliation....... Q2 2026 Financial Supplement, page 13</t>
  </si>
  <si>
    <t>AFFO reconciliation................. Q2 2026 Financial Supplement, page 14</t>
  </si>
  <si>
    <t>Key quarterly data.................. Q2 2026 Financial Supplement, page 5</t>
  </si>
  <si>
    <t>Annual income statement............. Form 10-K FY2025 (filed 13-Feb-2026), page 92</t>
  </si>
  <si>
    <t>Annual FFO reconciliation........... Form 10-K FY2025, page 80</t>
  </si>
  <si>
    <t>DERIVED FIGURES — the only numbers not lifted verbatim from a filing</t>
  </si>
  <si>
    <t>Quarterly income tax expense: the supplement truncates this line. Derived as the plug between</t>
  </si>
  <si>
    <t xml:space="preserve">   pre-tax income and reported net income. Ties exactly to the 10-Q for 2Q25, 1Q26 and 2Q26.</t>
  </si>
  <si>
    <t>Quarterly noncontrolling interest: derived as the plug between net income and net income</t>
  </si>
  <si>
    <t xml:space="preserve">   available to common. Ties exactly to the 10-Q for the quarters it discloses.</t>
  </si>
  <si>
    <t>Both are shown in blue and are validated by the check rows.</t>
  </si>
  <si>
    <t>THREE THINGS TO UNDERSTAND BEFORE PROJECTING</t>
  </si>
  <si>
    <t>1. FFO and Core FFO use DIFFERENT diluted share counts. 2Q26: 367,605k for FFO vs 360,648k for</t>
  </si>
  <si>
    <t xml:space="preserve">   Core FFO and AFFO. The gap is the Teraco put right — GAAP assumes it settles in shares for FFO,</t>
  </si>
  <si>
    <t xml:space="preserve">   but the dilution is excluded from Core FFO and AFFO until settlement actually occurs.</t>
  </si>
  <si>
    <t>2. Straight-line rent is SUBTRACTED in the AFFO bridge. It is revenue booked but not collected.</t>
  </si>
  <si>
    <t xml:space="preserve">   AFFO measures cash available for dividends, so non-cash revenue comes out.</t>
  </si>
  <si>
    <t>3. Recurring capex is lumpy and Q4-weighted ($168.5m in 4Q25 vs $60-78m elsewhere), which pushed</t>
  </si>
  <si>
    <t xml:space="preserve">   the 4Q25 AFFO payout ratio to 90.9%. Never annualize a single quarter. Use the TTM row.</t>
  </si>
  <si>
    <t>WHAT COMES NEXT — YOUR BUILD</t>
  </si>
  <si>
    <t>Tab 3  Revenue build: backlog roll-forward, development deliveries, renewal spreads, occupancy</t>
  </si>
  <si>
    <t>Tab 4  Operating expense &amp; NOI</t>
  </si>
  <si>
    <t>Tab 5  Projected FFO / Core FFO / AFFO (reuses the bridge structure on this tab)</t>
  </si>
  <si>
    <t>Tab 6  Development pipeline &amp; capex</t>
  </si>
  <si>
    <t>Tab 7  Debt schedule &amp; interest</t>
  </si>
  <si>
    <t>Tab 8  Share count &amp; sources-and-uses</t>
  </si>
  <si>
    <t>Tab 9  DCF</t>
  </si>
  <si>
    <t>Tab 10 NAV / sum-of-the-parts</t>
  </si>
  <si>
    <t>Tab 11 Comps, scenarios, football field</t>
  </si>
  <si>
    <t>MODEL COMPLETE — 14 TABS</t>
  </si>
  <si>
    <t>README | Decision_Log | Historicals_Q | Historicals_A | Source_Data | Rev_Build | Opex_NOI</t>
  </si>
  <si>
    <t>Capital | FFO_Bridge | DCF | NAV_SOTP | Comps | Scenarios | Summary</t>
  </si>
  <si>
    <t>HEADLINE OUTPUT</t>
  </si>
  <si>
    <t>FY2026E Core FFO/share ex-promote  $8.20   (guidance $8.15-8.20)</t>
  </si>
  <si>
    <t>FY2027E Core FFO/share ex-promote  $8.86   (+8.0%)</t>
  </si>
  <si>
    <t>Weighted target price              $205    (5.6% price upside, 8.1% total return)</t>
  </si>
  <si>
    <t>Bear $164  |  Base $208  |  Bull $250     reward/risk 1.85x</t>
  </si>
  <si>
    <t>VALIDATION</t>
  </si>
  <si>
    <t>All 5 FFO-bridge tie-outs to reported figures reconcile at zero.</t>
  </si>
  <si>
    <t>All 6 guidance checks pass except FFO/share, which is $0.01 above the ceiling.</t>
  </si>
  <si>
    <t>Sources equal uses in all 9 forecast periods. No error values, no blank formulas.</t>
  </si>
  <si>
    <t>MODELING DECISION LOG</t>
  </si>
  <si>
    <t>Every judgment call, and the reason for it. Maintained as the model is built — the answer to "why did you assume that?"</t>
  </si>
  <si>
    <t>#</t>
  </si>
  <si>
    <t>Date</t>
  </si>
  <si>
    <t>Area</t>
  </si>
  <si>
    <t>Decision</t>
  </si>
  <si>
    <t>Rationale</t>
  </si>
  <si>
    <t>Status</t>
  </si>
  <si>
    <t>D1</t>
  </si>
  <si>
    <t>4-Aug-26</t>
  </si>
  <si>
    <t>Thesis</t>
  </si>
  <si>
    <t>Long</t>
  </si>
  <si>
    <t>Established operator with pricing power in a power-constrained market; acquisitions compound the growth runway. Supply scarcity, not demand abundance, is the differentiated leg.</t>
  </si>
  <si>
    <t>Set</t>
  </si>
  <si>
    <t>D2</t>
  </si>
  <si>
    <t>Price target</t>
  </si>
  <si>
    <t>Preliminary $225-235</t>
  </si>
  <si>
    <t>Framework anchor only, from ~23.7x FY26E and ~21.5x FY27E Core FFO ex-promote, cross-checked against street PTs of $220-229 (DB $229, RBC $227, Cantor $221, WF $220). To be replaced by model output.</t>
  </si>
  <si>
    <t>Provisional</t>
  </si>
  <si>
    <t>D3</t>
  </si>
  <si>
    <t>Earnings metric</t>
  </si>
  <si>
    <t>Core FFO excluding net promote</t>
  </si>
  <si>
    <t>Matches the basis management guides to ($8.15-8.20 for 2026). Promotes are event-driven and lumpy; including them implies a run rate that does not exist.</t>
  </si>
  <si>
    <t>D4</t>
  </si>
  <si>
    <t>Cash metric</t>
  </si>
  <si>
    <t>AFFO</t>
  </si>
  <si>
    <t>Directly answers the short case (Chanos) that FFO ignores real maintenance capex on depreciating technical assets. AFFO is the honest dividend-coverage test.</t>
  </si>
  <si>
    <t>D5</t>
  </si>
  <si>
    <t>Workflow</t>
  </si>
  <si>
    <t>Claude extracts data; user builds logic</t>
  </si>
  <si>
    <t>Transcribing filings carries no analytical learning. Judgment — conversion rates, yields, funding, discount rates — is what transfers to an interview.</t>
  </si>
  <si>
    <t>D6</t>
  </si>
  <si>
    <t>Historical periods</t>
  </si>
  <si>
    <t>5 quarters (2Q25-2Q26) + 3 years (FY23-FY25)</t>
  </si>
  <si>
    <t>Five quarters is the full window the Q2-26 supplement discloses. Three fiscal years captures a complete FFO cycle including the FY24 trough.</t>
  </si>
  <si>
    <t>D7</t>
  </si>
  <si>
    <t>Share counts</t>
  </si>
  <si>
    <t>Three separate rows maintained</t>
  </si>
  <si>
    <t>FFO uses a higher diluted count (367,605k in 2Q26) than Core FFO and AFFO (360,648k). The gap is the Teraco put right. One blended count breaks every per-share figure.</t>
  </si>
  <si>
    <t>D8</t>
  </si>
  <si>
    <t>Teraco add-back</t>
  </si>
  <si>
    <t>Added to diluted FFO numerator only</t>
  </si>
  <si>
    <t>The FFO denominator assumes the put shares are already issued, so the numerator must be grossed up by the Teraco NCI share of FFO. NOT applied to Core FFO or AFFO. Without this, FFO/share runs $0.04-0.06 light every quarter.</t>
  </si>
  <si>
    <t>D9</t>
  </si>
  <si>
    <t>Derived line items</t>
  </si>
  <si>
    <t>Quarterly tax and NCI backed out as plugs</t>
  </si>
  <si>
    <t>The supplement truncates both lines. Validated independently: derived quarterly figures foot to the FY2025 10-K totals within $1k for both tax and NCI.</t>
  </si>
  <si>
    <t>D10</t>
  </si>
  <si>
    <t>Rounding</t>
  </si>
  <si>
    <t>Source rounding carried, not plugged</t>
  </si>
  <si>
    <t>DLR's own 1Q26 columns do not foot ($1k in revenue, $1k in the FFO bridge). Forcing a plug would hide a genuine source artifact. Net effect $2k on $700m = 0.0003%.</t>
  </si>
  <si>
    <t>D11</t>
  </si>
  <si>
    <t>Projection frequency</t>
  </si>
  <si>
    <t>Quarterly to 4Q27, then annual 2028-2030</t>
  </si>
  <si>
    <t>Backlog commencement is disclosed by period, so quarterly converts contracted rent into revenue precisely rather than via a growth rate. Also gives four checkpoints a year against guidance.</t>
  </si>
  <si>
    <t>D12</t>
  </si>
  <si>
    <t>Promote treatment</t>
  </si>
  <si>
    <t>Excluded from projected Core FFO; valued separately in NAV/SOTP</t>
  </si>
  <si>
    <t>Keeps the DCF on the same basis as guidance and free of a lumpy windfall, while still capturing the asset-management earnings power where it belongs. This is the memo's variant perception expressed as model architecture.</t>
  </si>
  <si>
    <t>D13</t>
  </si>
  <si>
    <t>Valuation date</t>
  </si>
  <si>
    <t>Proposed 31-Dec-26, FY27 as forward year</t>
  </si>
  <si>
    <t>Standard convention for a pitch made in August 2026. Awaiting confirmation.</t>
  </si>
  <si>
    <t>PENDING</t>
  </si>
  <si>
    <t>D14</t>
  </si>
  <si>
    <t>5-Aug-26</t>
  </si>
  <si>
    <t>Acquisitions</t>
  </si>
  <si>
    <t>NoVA 288 MW modelled as a separate consolidation step-up</t>
  </si>
  <si>
    <t>Closed 30-Jun-26, so 3Q26 is the first consolidated quarter. Sits outside both backlog and development pipeline; without its own line it is either missed or double-counted. Explains most of the $200m April-to-July revenue guidance raise.</t>
  </si>
  <si>
    <t>D15</t>
  </si>
  <si>
    <t>Source correction</t>
  </si>
  <si>
    <t>Blackstone JV cash consideration is $1.2bn, not $2.17bn</t>
  </si>
  <si>
    <t>Press release states total consideration ~$3.5bn = $1.2bn cash + 12.3m shares. The $2.17bn 10-Q cash flow line bundles other Q2 deals (Kansas City, Malaysia, Marseille).</t>
  </si>
  <si>
    <t>D16</t>
  </si>
  <si>
    <t>Promote figures</t>
  </si>
  <si>
    <t>Gross promote $201m; net promote in Core FFO $188m ($0.52/sh)</t>
  </si>
  <si>
    <t>Gross sits in Fee income on the 10-Q; net is after $14m of Carried Interest Plan expense. Use net for any earnings statement.</t>
  </si>
  <si>
    <t>D17</t>
  </si>
  <si>
    <t>NOI margin</t>
  </si>
  <si>
    <t>55.3% of rental &amp; recovery revenue</t>
  </si>
  <si>
    <t>Computed from the press release NOI reconciliation, 2Q26. Used to gross NOI back up to revenue when modelling dispositions.</t>
  </si>
  <si>
    <t>D18</t>
  </si>
  <si>
    <t>Open item</t>
  </si>
  <si>
    <t>Backlog commencement schedule still unverified</t>
  </si>
  <si>
    <t>Not in the earnings press release. Lives in the Q2 investor presentation. Row 16 of Rev_Build stays blank until confirmed.</t>
  </si>
  <si>
    <t>OPEN</t>
  </si>
  <si>
    <t>D19</t>
  </si>
  <si>
    <t>Revenue basis</t>
  </si>
  <si>
    <t>Deduct GROSS promote ($201m), not net ($188m), from revenue</t>
  </si>
  <si>
    <t>Guidance is "total revenue excluding promote income" — the gross figure in Fee income. The $14m promote expense is an operating cost, not a revenue contra. Corrected 1H26 base from $3,371m to $3,358m. Cross-check: 2Q26 fee ex-promote of $47.9m annualises to $191.7m vs the $190.2m DLR publishes on its NAV page.</t>
  </si>
  <si>
    <t>D20</t>
  </si>
  <si>
    <t>Churn</t>
  </si>
  <si>
    <t>Gross churn of 5.5% used, not a netted figure</t>
  </si>
  <si>
    <t>Section D treats all bookings as incremental revenue. Bookings include re-leasing of churned space, so churn must also be gross or the re-leasing is counted twice. Using net churn overstated FY26 revenue by ~$60m.</t>
  </si>
  <si>
    <t>D21</t>
  </si>
  <si>
    <t>Occupancy</t>
  </si>
  <si>
    <t>Set to zero inside same-capital growth</t>
  </si>
  <si>
    <t>Signed-but-not-commenced leases at same-capital properties are captured in the Section D backlog roll-forward. Including an occupancy uplift here as well would double-count them.</t>
  </si>
  <si>
    <t>D22</t>
  </si>
  <si>
    <t>Commencement timing</t>
  </si>
  <si>
    <t>Mid-period convention: 0.125 x current + 0.125 x prior quarter</t>
  </si>
  <si>
    <t>Backlog is quoted as ANNUALISED rent. A tranche commencing mid-quarter earns roughly half a quarter of revenue, reaching full run-rate the following period. Ignoring this overstates first-year revenue by ~2x on commencing tranches.</t>
  </si>
  <si>
    <t>D23</t>
  </si>
  <si>
    <t>Signing-to-commencement lag</t>
  </si>
  <si>
    <t>12 months assumed for new bookings</t>
  </si>
  <si>
    <t>2Q26 actual was 9 months but 1Q26 was 19 months, distorted by the Charlotte mega-lease. 12 months sits between them and avoids anchoring on one quarter.</t>
  </si>
  <si>
    <t>D24</t>
  </si>
  <si>
    <t>NoVA step-up</t>
  </si>
  <si>
    <t>Only $20m/quarter recognised in Section E</t>
  </si>
  <si>
    <t>The presentation confirms $380m of NoVA rent sits INSIDE the $1,427m backlog, so the bulk arrives through Section D commencements. Section E carries only the already-commenced portion newly consolidated at 30-Jun-26.</t>
  </si>
  <si>
    <t>D25</t>
  </si>
  <si>
    <t>Outer-year bookings</t>
  </si>
  <si>
    <t>Faded to $850m / $800m / $750m for FY28-30</t>
  </si>
  <si>
    <t>Holding 2026-27 booking levels flat produced ~17% revenue growth into 2030, which is implausible. The fade is a judgment call, not a disclosure, and is the least reliable input in the tab.</t>
  </si>
  <si>
    <t>D26</t>
  </si>
  <si>
    <t>FY26 vs guidance</t>
  </si>
  <si>
    <t>Build lands at $7,017m, 0.97% above the $6,950m guidance high</t>
  </si>
  <si>
    <t>Retained rather than tuned down. Management has raised revenue guidance three times in 2026 (Feb $6.60-6.70bn, Apr $6.65-6.75bn, Jul $6.85-6.95bn). A build landing just above the top is consistent with that pattern and is a thesis point, not an error. Sensitivity to be shown on the scenario tab.</t>
  </si>
  <si>
    <t>D27</t>
  </si>
  <si>
    <t>Opex seasonality</t>
  </si>
  <si>
    <t>Utilities modelled seasonally: 23.3% Q1, 23.7% Q2, 24.4% Q3, 25.0% Q4</t>
  </si>
  <si>
    <t>NOI margin swings 52.8% to 56.4% across the year, driven almost entirely by utilities. A flat margin would overstate 2H26 NOI by roughly $30m. Percentages taken from 2025-26 actuals.</t>
  </si>
  <si>
    <t>D28</t>
  </si>
  <si>
    <t>Operating leverage</t>
  </si>
  <si>
    <t>Rental property operating expense falls 17.4% to 16.6% of revenue by FY30</t>
  </si>
  <si>
    <t>Fixed property costs (staff, maintenance) do not scale one-for-one with commencing leases. Utilities and property taxes held flat as % of revenue because they do scale with IT load.</t>
  </si>
  <si>
    <t>D29</t>
  </si>
  <si>
    <t>Adjusted EBITDA build</t>
  </si>
  <si>
    <t>NOI + fee ex-promote + other revenue - G&amp;A + JV EBITDA + recurring other income</t>
  </si>
  <si>
    <t>Derived by reverse-engineering the published reconciliation rather than assumed. Ties to reported Adjusted EBITDA to the dollar for both 1Q26 and 2Q26.</t>
  </si>
  <si>
    <t>D30</t>
  </si>
  <si>
    <t>JV EBITDA contribution</t>
  </si>
  <si>
    <t>Held at ~$88-93m per quarter, below the 2Q26 actual of $100m</t>
  </si>
  <si>
    <t>The NoVA JV was unconsolidated until 30-Jun-26; consolidating it removes its D&amp;A and interest from the JV line. Held below the run rate to reflect that, then grown modestly for new fund vehicles.</t>
  </si>
  <si>
    <t>D31</t>
  </si>
  <si>
    <t>D&amp;A step-up</t>
  </si>
  <si>
    <t>$507m in 2Q26 rising to $595m in 3Q26</t>
  </si>
  <si>
    <t>The $7.8bn NoVA consolidation lifts gross real estate 17% quarter on quarter. A ~17% D&amp;A step-up is consistent. FFO adds D&amp;A back, so precision matters less here than for reported EPS.</t>
  </si>
  <si>
    <t>D32</t>
  </si>
  <si>
    <t>EBITDA vs guidance</t>
  </si>
  <si>
    <t>FY26E Adjusted EBITDA of $3,865m sits 0.38% above the $3,850m guidance high</t>
  </si>
  <si>
    <t>Consistent with the revenue build landing 0.97% above its own guidance high. Both retained rather than tuned; guidance has been raised three times in 2026.</t>
  </si>
  <si>
    <t>D33</t>
  </si>
  <si>
    <t>Circularity</t>
  </si>
  <si>
    <t>Interest on OPENING debt; dividends on OPENING share count</t>
  </si>
  <si>
    <t>Equity issuance depends on the funding gap, which depends on interest and dividends, which depend on debt and shares. Using opening balances breaks the loop without iterative calculation, which is fragile and hides errors. Cost is a small understatement of interest in periods with large issuance.</t>
  </si>
  <si>
    <t>D34</t>
  </si>
  <si>
    <t>Capitalized interest</t>
  </si>
  <si>
    <t>Calibrated to the actual trend, NOT computed as CIP x rate</t>
  </si>
  <si>
    <t>CIP x blended rate gave $85m/quarter against $37m actual. Two reasons: DLR capitalizes at ~2.75% not 3.4%, and capitalization stops once an asset is substantially complete, so the newly consolidated NoVA assets sitting in CIP largely do not qualify.</t>
  </si>
  <si>
    <t>D35</t>
  </si>
  <si>
    <t>Funding policy</t>
  </si>
  <si>
    <t>2H26 debt per guidance; from 2027 the gap is funded 50% debt / 50% equity</t>
  </si>
  <si>
    <t>An earlier version pinned leverage at exactly 5.0x, which made debt do all the funding until it could not, then dumped a lumpy equity raise into one quarter. No treasurer funds that way. A fixed mix is smoother and shows the dilution honestly.</t>
  </si>
  <si>
    <t>D36</t>
  </si>
  <si>
    <t>Cash deployment</t>
  </si>
  <si>
    <t>2Q26 cash of $1,865m deployed through 2027 before any equity is raised</t>
  </si>
  <si>
    <t>Issuing equity while holding $1.9bn of cash would be value-destructive and an obvious challenge in an interview. Cash is drawn to roughly $850m by 2028.</t>
  </si>
  <si>
    <t>D37</t>
  </si>
  <si>
    <t>Issue price</t>
  </si>
  <si>
    <t>Held flat at $193.89 (4-Aug-26 close) throughout</t>
  </si>
  <si>
    <t>Taking credit for a rising share price would reduce modelled dilution and flatter per-share growth. Holding flat is the conservative treatment.</t>
  </si>
  <si>
    <t>D38</t>
  </si>
  <si>
    <t>1H26 development capex</t>
  </si>
  <si>
    <t>Estimated at $2.0bn ($950m + $1,050m)</t>
  </si>
  <si>
    <t>NOT disclosed in the documents available. Set so FY26 lands at the $4.5bn guidance midpoint. This is the weakest input on the tab and should be replaced from the 10-Q cash flow statement.</t>
  </si>
  <si>
    <t>ESTIMATE</t>
  </si>
  <si>
    <t>D39</t>
  </si>
  <si>
    <t>Dividend</t>
  </si>
  <si>
    <t>Flat at $4.88 through 2027, then $5.05 / $5.25 / $5.45</t>
  </si>
  <si>
    <t>DLR has held the dividend flat since 2022 to self-fund development. Modest growth resumes once the AFFO payout ratio falls.</t>
  </si>
  <si>
    <t>D40</t>
  </si>
  <si>
    <t>Outcome</t>
  </si>
  <si>
    <t>Share count +8.5% to FY30; peak leverage 4.98x; $2.73bn cumulative equity</t>
  </si>
  <si>
    <t>This is the answer to the dilution question. Leverage peaks below 5.0x and then de-levers to 4.0x as EBITDA compounds. Per-share accretion is tested on the FFO tab.</t>
  </si>
  <si>
    <t>D41</t>
  </si>
  <si>
    <t>FFO bridge structure</t>
  </si>
  <si>
    <t>Same line-for-line structure validated on Historicals_Q</t>
  </si>
  <si>
    <t>All five tie-out checks (net income 1Q26 and 2Q26, FFO, Core FFO, AFFO) reconcile to reported figures at zero difference. The structure is proven before it is projected.</t>
  </si>
  <si>
    <t>D42</t>
  </si>
  <si>
    <t>Sign error found</t>
  </si>
  <si>
    <t>Gain on real estate transactions must NOT be negated again</t>
  </si>
  <si>
    <t>Historicals_Q already stores this line as a negative. Negating it flipped a deduction into an addition and overstated 2Q26 FFO by $15,976k, exactly twice the $7,988k gain.</t>
  </si>
  <si>
    <t>Fixed</t>
  </si>
  <si>
    <t>D43</t>
  </si>
  <si>
    <t>Missing line found</t>
  </si>
  <si>
    <t>Loss on debt extinguishment added to the net income build</t>
  </si>
  <si>
    <t>1Q26 net income was out by exactly $4,119k, the 1Q26 debt extinguishment loss, which the build had no line for.</t>
  </si>
  <si>
    <t>D44</t>
  </si>
  <si>
    <t>AFFO non-cash rent</t>
  </si>
  <si>
    <t>Actuals use the AFFO reconciliation components, not the cash-NOI figure</t>
  </si>
  <si>
    <t>DLR's cash-NOI reconciliation uses $617k of straight-line rental expense while its AFFO reconciliation uses $602k for the same quarter. Sourcing from the wrong table left AFFO out by $15k.</t>
  </si>
  <si>
    <t>D45</t>
  </si>
  <si>
    <t>Only ~$2.1bn of the NoVA consideration depreciates</t>
  </si>
  <si>
    <t>The $7.8bn acquisition added $4.4bn to construction in progress, which does not depreciate, and only ~$2.1bn to real estate. Modelling D&amp;A off the headline value overstated depreciation and understated net income per share.</t>
  </si>
  <si>
    <t>D46</t>
  </si>
  <si>
    <t>Transaction expense</t>
  </si>
  <si>
    <t>Raised to $55m per quarter in 2H26 for the Columbia Capital close</t>
  </si>
  <si>
    <t>T&amp;I sits above the FFO line but is added back for Core FFO, so it lowers FFO without touching Core FFO. At $25m the model implied far less than the $0.25/share non-core line in guidance. 3Q25 actual was $86.6m, so $55m is well within range.</t>
  </si>
  <si>
    <t>D47</t>
  </si>
  <si>
    <t>Recurring capex</t>
  </si>
  <si>
    <t>Q4-weighted, not flat</t>
  </si>
  <si>
    <t>Flat-lining left FY26 at $342m against $400-425m guidance. 4Q25 actual was $168.5m versus $60-78m in other quarters. Now $110m in 3Q26 and $165m in 4Q26.</t>
  </si>
  <si>
    <t>D48</t>
  </si>
  <si>
    <t>Stopping rule</t>
  </si>
  <si>
    <t>FFO/share left at $8.46 against a $8.45 guidance ceiling</t>
  </si>
  <si>
    <t>One cent, 0.1%. Core FFO/share ex-promote and net income per share both land inside guidance. Tuning further would be fitting the model to the answer rather than to the business.</t>
  </si>
  <si>
    <t>D49</t>
  </si>
  <si>
    <t>Output</t>
  </si>
  <si>
    <t>FY26E Core FFO/sh ex-promote $8.20; FY27E $8.86 (+8.0%)</t>
  </si>
  <si>
    <t>FY28 at $10.29 implies +16% growth, inherited from the revenue build where the 2027 commencements fully annualise. That is the least reliable year in the model and should carry a sensitivity.</t>
  </si>
  <si>
    <t>D50</t>
  </si>
  <si>
    <t>8-Aug-26</t>
  </si>
  <si>
    <t>WACC</t>
  </si>
  <si>
    <t>8.00% — materially above the sell side</t>
  </si>
  <si>
    <t>Risk-free 4.60% (10-yr UST verified 7-Aug-26), ERP 5.0%, beta 0.85. Wells Fargo used 6.0% and J.P. Morgan 7.0%. With the Fed signalling possible hikes, a higher discount rate is the more honest assumption. Each 50bp of WACC is worth roughly $5/share.</t>
  </si>
  <si>
    <t>D51</t>
  </si>
  <si>
    <t>DCF weakness</t>
  </si>
  <si>
    <t>Terminal value is 97% of enterprise value</t>
  </si>
  <si>
    <t>Development capex consumes almost all EBITDA through 2030, so explicit-period FCF is near zero and FY27 is negative. The DCF is effectively a terminal-multiple exercise. This is a genuine limitation and the NAV is the more informative method for this business.</t>
  </si>
  <si>
    <t>FLAG</t>
  </si>
  <si>
    <t>D52</t>
  </si>
  <si>
    <t>Terminal cross-check</t>
  </si>
  <si>
    <t>23x exit vs 17.8x implied by a 3% perpetuity</t>
  </si>
  <si>
    <t>The two methods disagree by $60/share. Justifying 23x at an 8% WACC requires ~4.1% perpetual growth. Defensible for contracted escalators plus secular demand, but it must be argued, not assumed.</t>
  </si>
  <si>
    <t>D53</t>
  </si>
  <si>
    <t>NAV cap rate</t>
  </si>
  <si>
    <t>5.50% base</t>
  </si>
  <si>
    <t>DLR acquired the NoVA assets at an initial stabilised cap above 6.5%, but those are still stabilising. Prime stabilised data centres trade tighter. The single most sensitive input in the model: 50bp is worth about $25/share.</t>
  </si>
  <si>
    <t>D54</t>
  </si>
  <si>
    <t>Land bank</t>
  </si>
  <si>
    <t>Valued at $500k per MW above book, shown separately</t>
  </si>
  <si>
    <t>Published NAV carries land held for development at $122.8m of historical cost against 7,110 MW of capacity. Kansas City cost ~$240k/MW for raw land with utility commitment; powered permitted capacity is worth multiples. Broken out so it can be set to zero for a strict NAV.</t>
  </si>
  <si>
    <t>D55</t>
  </si>
  <si>
    <t>Double-count control</t>
  </si>
  <si>
    <t>Development CIP removed from other assets</t>
  </si>
  <si>
    <t>Published other assets of $12.5bn already contains development CIP net of the FY26 backlog investment. Section B revalues those same assets on completed economics, so the book figure is deducted in Section E.</t>
  </si>
  <si>
    <t>D56</t>
  </si>
  <si>
    <t>FINDING</t>
  </si>
  <si>
    <t>The model does NOT support the preliminary $225-235 target</t>
  </si>
  <si>
    <t>NAV $195.74 at a 5.5% cap; strict NAV $186.30; DCF $221 at 23x but only $161 on a 3% perpetuity. Against $193.89 the stock is close to fair value on our own assumptions. $225-235 requires a ~5.0% cap rate or a 25x exit multiple. The preliminary target (D2) needs revising down or the assumptions need defending explicitly.</t>
  </si>
  <si>
    <t>ACTION</t>
  </si>
  <si>
    <t>D57</t>
  </si>
  <si>
    <t>AFFO comparability</t>
  </si>
  <si>
    <t>AFFO excluding net promote added to the bridge</t>
  </si>
  <si>
    <t>Reported FY26-27 AFFO/share growth reads +0.1% because the 2Q26 promote inflates the FY26 base. Ex-promote it is +7.2%. Without this line the model would understate real cash growth by 7 points.</t>
  </si>
  <si>
    <t>D58</t>
  </si>
  <si>
    <t>Comps finding</t>
  </si>
  <si>
    <t>DLR trades ~18% above EQIX on FY27E AFFO</t>
  </si>
  <si>
    <t>DLR 25.3x vs EQIX 21.4x, with 4.8x leverage against 3.5x. Offsets are faster revenue growth (14.8% vs 11.5%), a higher EBITDA margin (55.1% vs 51.1%) and a higher yield (2.5% vs 1.9%). This is the hardest number in the pitch to defend.</t>
  </si>
  <si>
    <t>D59</t>
  </si>
  <si>
    <t>Silent bug 1</t>
  </si>
  <si>
    <t>Capital!F23 dividend per share was never summed</t>
  </si>
  <si>
    <t>The FY26 column summed rows 20, 21 and 24 but skipped 23, so the comps dividend yield read 0.0%. Produced a plausible-looking number rather than an error, so no automated check caught it.</t>
  </si>
  <si>
    <t>D60</t>
  </si>
  <si>
    <t>Silent bug 2</t>
  </si>
  <si>
    <t>Comps net debt omitted pro-rata JV debt and cash</t>
  </si>
  <si>
    <t>The formula referenced Capital rows 46 and 47 in the actual column, where those inputs are only populated in forecast columns. Understated net debt by $1.6bn and showed leverage of 4.3x instead of 4.76x.</t>
  </si>
  <si>
    <t>D61</t>
  </si>
  <si>
    <t>Silent bug 3</t>
  </si>
  <si>
    <t>Football field pointed at the wrong sensitivity column</t>
  </si>
  <si>
    <t>The DCF and NAV ranges referenced column B of each grid (19x exit and $0/MW land) rather than the intended 23x and $500/MW. Understated the DCF range by roughly $45/share.</t>
  </si>
  <si>
    <t>D62</t>
  </si>
  <si>
    <t>TARGET PRICE</t>
  </si>
  <si>
    <t>$205 (weighted), replacing the preliminary $225-235</t>
  </si>
  <si>
    <t>DCF $221 (30%), NAV $198 (40%), P/Core FFO $204 (20%), P/AFFO $184 (10%). Implies 5.6% price upside plus a 2.5% yield, so 8.1% total return. Bear $164, bull $250, reward/risk 1.85x. The Street at $220-229 sits above our range, driven by lower discount rates.</t>
  </si>
  <si>
    <t>All figures in $000s except per share and share counts. Source: Q2 2026 Financial Supplement (8-K, 23-Jul-2026), pp. 5, 12, 13, 14.</t>
  </si>
  <si>
    <t>Blue = input from filing.  Black = formula.  Yellow = check row (zero, or +/-1 from rounding in the published supplement).</t>
  </si>
  <si>
    <t>Quarter Ended</t>
  </si>
  <si>
    <t>2Q25</t>
  </si>
  <si>
    <t>3Q25</t>
  </si>
  <si>
    <t>4Q25</t>
  </si>
  <si>
    <t>1Q26</t>
  </si>
  <si>
    <t>2Q26</t>
  </si>
  <si>
    <t>INCOME STATEMENT</t>
  </si>
  <si>
    <t>Operating Revenues</t>
  </si>
  <si>
    <t xml:space="preserve">  Rental revenues</t>
  </si>
  <si>
    <t xml:space="preserve">  Interconnection and other</t>
  </si>
  <si>
    <t xml:space="preserve">  Fee income</t>
  </si>
  <si>
    <t>2Q26 includes $201m gross promote income</t>
  </si>
  <si>
    <t xml:space="preserve">  Other</t>
  </si>
  <si>
    <t>Total Operating Revenues</t>
  </si>
  <si>
    <t>Operating Expenses</t>
  </si>
  <si>
    <t xml:space="preserve">  Utilities</t>
  </si>
  <si>
    <t>~90% reimbursed by customers</t>
  </si>
  <si>
    <t xml:space="preserve">  Rental property operating</t>
  </si>
  <si>
    <t xml:space="preserve">  Property taxes</t>
  </si>
  <si>
    <t xml:space="preserve">  Insurance</t>
  </si>
  <si>
    <t xml:space="preserve">  Depreciation and amortization</t>
  </si>
  <si>
    <t xml:space="preserve">  General and administrative</t>
  </si>
  <si>
    <t xml:space="preserve">  Severance, equity acceleration and legal</t>
  </si>
  <si>
    <t xml:space="preserve">  Transaction and integration expenses</t>
  </si>
  <si>
    <t xml:space="preserve">  Provision for impairment</t>
  </si>
  <si>
    <t xml:space="preserve">  Other expenses</t>
  </si>
  <si>
    <t>Total Operating Expenses</t>
  </si>
  <si>
    <t>Operating Income before gain on disposition</t>
  </si>
  <si>
    <t xml:space="preserve">  Gain (loss) on disposition of properties, net</t>
  </si>
  <si>
    <t>Operating Income</t>
  </si>
  <si>
    <t xml:space="preserve">  Equity in earnings (loss) of unconsolidated entities</t>
  </si>
  <si>
    <t xml:space="preserve">  Interest and other income (expense), net</t>
  </si>
  <si>
    <t>2Q26 includes insurance settlement</t>
  </si>
  <si>
    <t xml:space="preserve">  Interest expense</t>
  </si>
  <si>
    <t xml:space="preserve">  Gain (loss) on debt extinguishment</t>
  </si>
  <si>
    <t xml:space="preserve">  Income tax (expense) benefit</t>
  </si>
  <si>
    <t>Net Income</t>
  </si>
  <si>
    <t xml:space="preserve">  Net (income) loss attributable to noncontrolling interests</t>
  </si>
  <si>
    <t xml:space="preserve">  Preferred stock dividends</t>
  </si>
  <si>
    <t>Net Income Available to Common Stockholders</t>
  </si>
  <si>
    <t>Difference</t>
  </si>
  <si>
    <t>NET INCOME  →  FFO   (Nareit-defined, comparable across REITs)</t>
  </si>
  <si>
    <t xml:space="preserve">  Noncontrolling interest in operating partnership</t>
  </si>
  <si>
    <t xml:space="preserve">  Real estate related depreciation and amortization</t>
  </si>
  <si>
    <t>D&amp;A per IS less non-real estate depreciation</t>
  </si>
  <si>
    <t xml:space="preserve">  Reconciling items related to noncontrolling interests</t>
  </si>
  <si>
    <t xml:space="preserve">  Unconsolidated entities real estate related D&amp;A</t>
  </si>
  <si>
    <t xml:space="preserve">  (Gain) loss on real estate transactions</t>
  </si>
  <si>
    <t>Funds From Operations (FFO)</t>
  </si>
  <si>
    <t>FFO  →  CORE FFO   (company-defined, NOT comparable across REITs)</t>
  </si>
  <si>
    <t xml:space="preserve">  Other non-core revenue adjustments</t>
  </si>
  <si>
    <t xml:space="preserve">  Gain (loss) on debt extinguishment and modifications</t>
  </si>
  <si>
    <t xml:space="preserve">  Severance, equity acceleration and legal expenses</t>
  </si>
  <si>
    <t xml:space="preserve">  (Gain) loss on FX and derivatives revaluation</t>
  </si>
  <si>
    <t xml:space="preserve">  Other non-core expense adjustments</t>
  </si>
  <si>
    <t>Core FFO</t>
  </si>
  <si>
    <t xml:space="preserve">  Net promote</t>
  </si>
  <si>
    <t>$201m promote income less $14m promote expense</t>
  </si>
  <si>
    <t>Core FFO (excluding net promote)</t>
  </si>
  <si>
    <t>&lt;-- this is what management guides to</t>
  </si>
  <si>
    <t xml:space="preserve">  Non-real estate depreciation</t>
  </si>
  <si>
    <t xml:space="preserve">  Amortization of deferred financing costs</t>
  </si>
  <si>
    <t xml:space="preserve">  Amortization of debt discount/premium</t>
  </si>
  <si>
    <t xml:space="preserve">  Non-cash stock-based compensation expense</t>
  </si>
  <si>
    <t xml:space="preserve">  Straight-line rental revenue</t>
  </si>
  <si>
    <t xml:space="preserve">  Straight-line rental expense</t>
  </si>
  <si>
    <t xml:space="preserve">  Above- and below-market rent amortization</t>
  </si>
  <si>
    <t xml:space="preserve">  Deferred tax (benefit) / expense</t>
  </si>
  <si>
    <t xml:space="preserve">  Leasing compensation and internal lease commissions</t>
  </si>
  <si>
    <t xml:space="preserve">  Recurring capital expenditures</t>
  </si>
  <si>
    <t>Adjusted Funds From Operations (AFFO)</t>
  </si>
  <si>
    <t>SHARE COUNTS &amp; PER SHARE</t>
  </si>
  <si>
    <t>Add: Teraco noncontrolling share of FFO</t>
  </si>
  <si>
    <t>Dividends per share and common unit</t>
  </si>
  <si>
    <t>AFFO payout ratio</t>
  </si>
  <si>
    <t>Core FFO ex-promote payout ratio</t>
  </si>
  <si>
    <t>KEY BALANCE SHEET &amp; LEVERAGE DATA   (supplement p.5)</t>
  </si>
  <si>
    <t>Adjusted EBITDA</t>
  </si>
  <si>
    <t>Total debt at balance sheet carrying value</t>
  </si>
  <si>
    <t>Net Debt-to-Adjusted EBITDA</t>
  </si>
  <si>
    <t>Fixed charge coverage ratio</t>
  </si>
  <si>
    <t>Total assets</t>
  </si>
  <si>
    <t>Common shares outstanding (end of period)</t>
  </si>
  <si>
    <t>Common partnership units outstanding (end of period)</t>
  </si>
  <si>
    <t>Total shares and units (end of period)</t>
  </si>
  <si>
    <t>All figures in $000s except per share. Source: Form 10-K FY2025 (filed 13-Feb-2026), pp. 80 and 92.</t>
  </si>
  <si>
    <t>Year Ended 31-Dec</t>
  </si>
  <si>
    <t>FY2023</t>
  </si>
  <si>
    <t>FY2024</t>
  </si>
  <si>
    <t>FY2025</t>
  </si>
  <si>
    <t xml:space="preserve">  Rental and other services</t>
  </si>
  <si>
    <t xml:space="preserve">  Fee income and other</t>
  </si>
  <si>
    <t xml:space="preserve">  Rental property operating and maintenance</t>
  </si>
  <si>
    <t xml:space="preserve">  Property taxes and insurance</t>
  </si>
  <si>
    <t xml:space="preserve">  Transactions and integration</t>
  </si>
  <si>
    <t xml:space="preserve">  Equity in loss of unconsolidated entities</t>
  </si>
  <si>
    <t xml:space="preserve">  Gain on disposition of properties, net</t>
  </si>
  <si>
    <t xml:space="preserve">  Other income, net</t>
  </si>
  <si>
    <t xml:space="preserve">  Income tax expense</t>
  </si>
  <si>
    <t>NET INCOME  →  FFO</t>
  </si>
  <si>
    <t xml:space="preserve">  Noncontrolling interests in operating partnership</t>
  </si>
  <si>
    <t xml:space="preserve">  Depreciation related to noncontrolling interests</t>
  </si>
  <si>
    <t xml:space="preserve">  Unconsolidated JV real estate related D&amp;A</t>
  </si>
  <si>
    <t xml:space="preserve">  Gain from the disposition of real estate assets</t>
  </si>
  <si>
    <t>FFO available to common stockholders and unitholders</t>
  </si>
  <si>
    <t>Dividends per share</t>
  </si>
  <si>
    <t>GROWTH &amp; MARGIN ANALYSIS</t>
  </si>
  <si>
    <t>Total revenue growth</t>
  </si>
  <si>
    <t>n/a</t>
  </si>
  <si>
    <t>D&amp;A as % of revenue</t>
  </si>
  <si>
    <t>Property-level opex as % of revenue</t>
  </si>
  <si>
    <t>G&amp;A as % of revenue</t>
  </si>
  <si>
    <t>Fee income as % of revenue</t>
  </si>
  <si>
    <t>Raw operating inputs for the projection tabs. All blue = lifted directly from the filing. Link to these cells; do not retype.</t>
  </si>
  <si>
    <t>Market</t>
  </si>
  <si>
    <t>Land MW</t>
  </si>
  <si>
    <t>Shell MW</t>
  </si>
  <si>
    <t>Fut Dev Inv 100%</t>
  </si>
  <si>
    <t>Fut Dev Inv DLR</t>
  </si>
  <si>
    <t>Under Constr MW</t>
  </si>
  <si>
    <t>% Leased</t>
  </si>
  <si>
    <t>Avg Completion</t>
  </si>
  <si>
    <t>Curr Inv 100%</t>
  </si>
  <si>
    <t>Fut Inv 100%</t>
  </si>
  <si>
    <t>Total Inv 100%</t>
  </si>
  <si>
    <t>Curr Inv DLR</t>
  </si>
  <si>
    <t>Fut Inv DLR</t>
  </si>
  <si>
    <t>Total Inv DLR</t>
  </si>
  <si>
    <t>Northern Virginia</t>
  </si>
  <si>
    <t>3Q27</t>
  </si>
  <si>
    <t>Charlotte</t>
  </si>
  <si>
    <t>2Q28</t>
  </si>
  <si>
    <t>Atlanta</t>
  </si>
  <si>
    <t>1Q29</t>
  </si>
  <si>
    <t>Other Americas</t>
  </si>
  <si>
    <t>2Q27</t>
  </si>
  <si>
    <t>AMERICAS</t>
  </si>
  <si>
    <t>Marseille</t>
  </si>
  <si>
    <t>Frankfurt</t>
  </si>
  <si>
    <t>1Q27</t>
  </si>
  <si>
    <t>Zurich</t>
  </si>
  <si>
    <t>3Q28</t>
  </si>
  <si>
    <t>Other EMEA</t>
  </si>
  <si>
    <t>EMEA</t>
  </si>
  <si>
    <t>Tokyo</t>
  </si>
  <si>
    <t>Seoul</t>
  </si>
  <si>
    <t>4Q27</t>
  </si>
  <si>
    <t>Osaka</t>
  </si>
  <si>
    <t>Other APAC</t>
  </si>
  <si>
    <t>1Q28</t>
  </si>
  <si>
    <t>APAC</t>
  </si>
  <si>
    <t>TOTAL</t>
  </si>
  <si>
    <t>Stabilized cash yields:  Americas 11.8%  |  EMEA 10.4%  |  APAC 11.2%  |  TOTAL 11.5%</t>
  </si>
  <si>
    <t>1H26</t>
  </si>
  <si>
    <t>1H25</t>
  </si>
  <si>
    <t>Rental revenues</t>
  </si>
  <si>
    <t>Tenant reimbursements - Utilities</t>
  </si>
  <si>
    <t>Tenant reimbursements - Other</t>
  </si>
  <si>
    <t>Interconnection and other</t>
  </si>
  <si>
    <t>Total Revenue</t>
  </si>
  <si>
    <t>Utilities</t>
  </si>
  <si>
    <t>Rental property operating</t>
  </si>
  <si>
    <t>Property taxes</t>
  </si>
  <si>
    <t>Insurance</t>
  </si>
  <si>
    <t>Total Expenses</t>
  </si>
  <si>
    <t>Net Operating Income</t>
  </si>
  <si>
    <t>Less: straight-line rent</t>
  </si>
  <si>
    <t>Less: above/below-market rent</t>
  </si>
  <si>
    <t>Cash Net Operating Income</t>
  </si>
  <si>
    <t>Constant Currency Cash NOI</t>
  </si>
  <si>
    <t>Stabilized occupancy (period end)</t>
  </si>
  <si>
    <t>YTD</t>
  </si>
  <si>
    <t>LTM</t>
  </si>
  <si>
    <t>BACKLOG &amp; BOOKINGS  (Q2 2026 earnings release)</t>
  </si>
  <si>
    <t xml:space="preserve">  of which 0-1 MW ($m)</t>
  </si>
  <si>
    <t xml:space="preserve">  of which interconnection ($m)</t>
  </si>
  <si>
    <t>Weighted-average sign-to-commence lag (months)</t>
  </si>
  <si>
    <t>2026 GUIDANCE  (supplement p.10, as of 23-Jul-2026)</t>
  </si>
  <si>
    <t>Low</t>
  </si>
  <si>
    <t>High</t>
  </si>
  <si>
    <t>Total revenue excl. promote ($m)</t>
  </si>
  <si>
    <t>Net non-cash rent adjustments ($m)</t>
  </si>
  <si>
    <t>Adjusted EBITDA ($m)</t>
  </si>
  <si>
    <t>G&amp;A ($m)</t>
  </si>
  <si>
    <t>Cash renewal spreads</t>
  </si>
  <si>
    <t>GAAP renewal spreads</t>
  </si>
  <si>
    <t>Year-end occupancy change (bps)</t>
  </si>
  <si>
    <t>Same-capital cash NOI growth (CC)</t>
  </si>
  <si>
    <t>Dispositions / JV capital ($m)</t>
  </si>
  <si>
    <t>Development capex net of partner ($m)</t>
  </si>
  <si>
    <t>Enhancements / other non-recurring capex ($m)</t>
  </si>
  <si>
    <t>Recurring capex + capitalized leasing ($m)</t>
  </si>
  <si>
    <t>Long-term debt issuance ($m)</t>
  </si>
  <si>
    <t>Debt issuance pricing</t>
  </si>
  <si>
    <t>Net income per diluted share</t>
  </si>
  <si>
    <t>FFO per share (Nareit)</t>
  </si>
  <si>
    <t>Net promote per share</t>
  </si>
  <si>
    <t>Core FFO per share excl. net promote</t>
  </si>
  <si>
    <t>Constant-currency Core FFO/sh excl. promote</t>
  </si>
  <si>
    <t>FX: USD/GBP</t>
  </si>
  <si>
    <t>FX: USD/EUR</t>
  </si>
  <si>
    <t>Feb-5 lo</t>
  </si>
  <si>
    <t>Feb-5 hi</t>
  </si>
  <si>
    <t>Apr-23 lo</t>
  </si>
  <si>
    <t>Apr-23 hi</t>
  </si>
  <si>
    <t>Jul-23 lo</t>
  </si>
  <si>
    <t>Jul-23 hi</t>
  </si>
  <si>
    <t>Total revenue ex-promote ($m)</t>
  </si>
  <si>
    <t>Year-end occupancy (bps)</t>
  </si>
  <si>
    <t>Core FFO/sh excl. net promote</t>
  </si>
  <si>
    <t>Rental &amp; recovery revenue (denominator)</t>
  </si>
  <si>
    <t>NOI margin on rental &amp; recovery revenue</t>
  </si>
  <si>
    <t>Annual GAAP rent ($000s)</t>
  </si>
  <si>
    <t>Megawatts</t>
  </si>
  <si>
    <t>GAAP rent per kW</t>
  </si>
  <si>
    <t>Americas 0-1 MW</t>
  </si>
  <si>
    <t>Americas &gt;1 MW</t>
  </si>
  <si>
    <t>EMEA 0-1 MW</t>
  </si>
  <si>
    <t>EMEA &gt;1 MW</t>
  </si>
  <si>
    <t>APAC 0-1 MW</t>
  </si>
  <si>
    <t>APAC &gt;1 MW</t>
  </si>
  <si>
    <t>Interconnection</t>
  </si>
  <si>
    <t>2Q26 INVESTMENT ACTIVITY  (press release p.2)</t>
  </si>
  <si>
    <t>Kansas City land (up to 2 GW utility power)</t>
  </si>
  <si>
    <t>Astra Enterprise Park</t>
  </si>
  <si>
    <t>Marseille land (up to 48 MW IT capacity)</t>
  </si>
  <si>
    <t>EUR 46.5m</t>
  </si>
  <si>
    <t>Atlanta land (campus &gt;1 GW with Q1 parcel)</t>
  </si>
  <si>
    <t>Consideration: $1.2bn cash + 12.3m shares</t>
  </si>
  <si>
    <t xml:space="preserve">   NoVA gross asset value</t>
  </si>
  <si>
    <t>Initial stabilized cap rate &gt;6.5%</t>
  </si>
  <si>
    <t>Atlanta non-core disposition</t>
  </si>
  <si>
    <t>ATM issued 23-Apr to 30-Jun (6.2m shares @ $191.63)</t>
  </si>
  <si>
    <t>net proceeds</t>
  </si>
  <si>
    <t>ATM issued YTD (13.5m shares @ $184.94)</t>
  </si>
  <si>
    <t>BACKLOG ROLL-FORWARD &amp; COMMENCEMENT TIMING  (2Q26 presentation p.9)  $m</t>
  </si>
  <si>
    <t>Consolidated</t>
  </si>
  <si>
    <t>Total at DLR share</t>
  </si>
  <si>
    <t>1Q26 backlog (as restated)</t>
  </si>
  <si>
    <t xml:space="preserve">  + Signed in 2Q26</t>
  </si>
  <si>
    <t xml:space="preserve">  - Commenced in 2Q26</t>
  </si>
  <si>
    <t>2Q26 backlog</t>
  </si>
  <si>
    <t>Commencing in 2026 (remainder)</t>
  </si>
  <si>
    <t>Commencing in 2027</t>
  </si>
  <si>
    <t>Commencing in 2028+</t>
  </si>
  <si>
    <t>NOTE: 1Q26 backlog RESTATED upward by ~$380m for the NoVA 64% acquisition. Reported 1Q26 was ~$1,048m.</t>
  </si>
  <si>
    <t>Network-Dense cash NOI, annualized</t>
  </si>
  <si>
    <t>Campus cash NOI, annualized</t>
  </si>
  <si>
    <t>Other cash NOI, annualized</t>
  </si>
  <si>
    <t>Total consolidated cash NOI, annualized</t>
  </si>
  <si>
    <t xml:space="preserve">  less: partners share of consolidated JVs</t>
  </si>
  <si>
    <t xml:space="preserve">  Acquisitions / dispositions / expirations</t>
  </si>
  <si>
    <t xml:space="preserve">  FY26 backlog cash NOI and 2Q26 carry-over</t>
  </si>
  <si>
    <t>DLR pro rata share of unconsolidated entities cash NOI</t>
  </si>
  <si>
    <t>Development &amp; management fees, annualized (ex-promote)</t>
  </si>
  <si>
    <t>Pre-stabilized inventory, at cost</t>
  </si>
  <si>
    <t>Land held for development</t>
  </si>
  <si>
    <t>Development CIP</t>
  </si>
  <si>
    <t xml:space="preserve">  less: investment associated with FY26 backlog NOI</t>
  </si>
  <si>
    <t>Cash and cash equivalents</t>
  </si>
  <si>
    <t>Accounts and other receivables, net</t>
  </si>
  <si>
    <t>Other assets</t>
  </si>
  <si>
    <t xml:space="preserve">  less: partners share of consolidated entities assets</t>
  </si>
  <si>
    <t>Total other assets</t>
  </si>
  <si>
    <t>Global unsecured revolving credit facilities</t>
  </si>
  <si>
    <t>Unsecured term loans</t>
  </si>
  <si>
    <t>Unsecured senior notes</t>
  </si>
  <si>
    <t>Secured and other debt</t>
  </si>
  <si>
    <t>Accounts payable and other accrued liabilities</t>
  </si>
  <si>
    <t>Deferred tax liabilities</t>
  </si>
  <si>
    <t>Security deposits and prepaid rents</t>
  </si>
  <si>
    <t>Backlog NOI cost to complete</t>
  </si>
  <si>
    <t>Preferred stock</t>
  </si>
  <si>
    <t>DLR share of unconsolidated entities debt</t>
  </si>
  <si>
    <t xml:space="preserve">  less: partners share of consolidated entities liabilities</t>
  </si>
  <si>
    <t>Total liabilities</t>
  </si>
  <si>
    <t>$000s. Section B is the build. Sections C-F derive the inputs it uses.</t>
  </si>
  <si>
    <t>Blue = assumption.  Black = formula.  Green = link to another tab.</t>
  </si>
  <si>
    <t>Period</t>
  </si>
  <si>
    <t>1Q26A</t>
  </si>
  <si>
    <t>2Q26A</t>
  </si>
  <si>
    <t>3Q26E</t>
  </si>
  <si>
    <t>4Q26E</t>
  </si>
  <si>
    <t>FY2026E</t>
  </si>
  <si>
    <t>1Q27E</t>
  </si>
  <si>
    <t>2Q27E</t>
  </si>
  <si>
    <t>3Q27E</t>
  </si>
  <si>
    <t>4Q27E</t>
  </si>
  <si>
    <t>FY2027E</t>
  </si>
  <si>
    <t>FY2028E</t>
  </si>
  <si>
    <t>FY2029E</t>
  </si>
  <si>
    <t>FY2030E</t>
  </si>
  <si>
    <t>NOTES</t>
  </si>
  <si>
    <t>Opening rental &amp; recovery revenue</t>
  </si>
  <si>
    <t xml:space="preserve">   x same-capital growth (quarterly / annual)</t>
  </si>
  <si>
    <t xml:space="preserve">   + New lease commencements</t>
  </si>
  <si>
    <t>From Section D. Mid-period convention.</t>
  </si>
  <si>
    <t xml:space="preserve">   + NoVA consolidation step-up</t>
  </si>
  <si>
    <t>From Section E. Only the ALREADY-COMMENCED portion.</t>
  </si>
  <si>
    <t xml:space="preserve">   - Dispositions / JV contributions</t>
  </si>
  <si>
    <t>Rental &amp; recovery revenue</t>
  </si>
  <si>
    <t>Rows 8+9+10+11-12</t>
  </si>
  <si>
    <t xml:space="preserve">   + Fee income excluding promote income</t>
  </si>
  <si>
    <t xml:space="preserve">   + Other revenue</t>
  </si>
  <si>
    <t>TOTAL OPERATING REVENUE (ex-promote)</t>
  </si>
  <si>
    <t>y/y growth</t>
  </si>
  <si>
    <t xml:space="preserve">   Contractual rent escalator (annual)</t>
  </si>
  <si>
    <t>DLR leases carry 2-3% fixed bumps</t>
  </si>
  <si>
    <t xml:space="preserve">   Blended cash renewal spread</t>
  </si>
  <si>
    <t>FY26 guidance 9.0-11.0%. We use the midpoint.</t>
  </si>
  <si>
    <t xml:space="preserve">   Share of rent roll renewing per year</t>
  </si>
  <si>
    <t>$262m renewed in 2Q26 x4 / ~$4.76bn in-place DC rent</t>
  </si>
  <si>
    <t xml:space="preserve">   Renewal contribution</t>
  </si>
  <si>
    <t>row 30 x row 31</t>
  </si>
  <si>
    <t xml:space="preserve">   Churn drag (annual)</t>
  </si>
  <si>
    <t>GROSS churn, LTM 5.5% (Source_Data r66). Gross because bookings in Section D are also gross.</t>
  </si>
  <si>
    <t xml:space="preserve">   Occupancy contribution</t>
  </si>
  <si>
    <t>Same-capital revenue growth (annual)</t>
  </si>
  <si>
    <t>Quarterly equivalent</t>
  </si>
  <si>
    <t>(1+annual)^(1/4)-1</t>
  </si>
  <si>
    <t>Opening backlog</t>
  </si>
  <si>
    <t xml:space="preserve">   + New bookings signed</t>
  </si>
  <si>
    <t>2Q26 $208m. July signed $205m DLR share already.</t>
  </si>
  <si>
    <t xml:space="preserve">   - Commencements</t>
  </si>
  <si>
    <t>VERIFIED schedule: $635m 2026, $480m 2027, $312m 2028+</t>
  </si>
  <si>
    <t>Closing backlog</t>
  </si>
  <si>
    <t>2Q26 closing backlog. Source_Data r157.</t>
  </si>
  <si>
    <t>Annualized rent commencing this period</t>
  </si>
  <si>
    <t>Annualized rent commencing prior period</t>
  </si>
  <si>
    <t>Revenue recognised this period</t>
  </si>
  <si>
    <t>0.125 x this period + 0.125 x prior period (quarters)</t>
  </si>
  <si>
    <t xml:space="preserve">   Backlog never negative?</t>
  </si>
  <si>
    <t xml:space="preserve">   Gross asset value</t>
  </si>
  <si>
    <t>Press release p.2</t>
  </si>
  <si>
    <t xml:space="preserve">   Initial stabilized cap rate</t>
  </si>
  <si>
    <t>"expected initial stabilized cap rate of over 6.5%"</t>
  </si>
  <si>
    <t xml:space="preserve">   Implied stabilized NOI</t>
  </si>
  <si>
    <t xml:space="preserve">   NOTE: $380m of NoVA rent is INSIDE the $1,427m backlog and is captured in Section D.</t>
  </si>
  <si>
    <t xml:space="preserve">   Row 11 therefore carries only the small already-commenced portion, added once in 3Q26.</t>
  </si>
  <si>
    <t>Revenue removed this period (incremental)</t>
  </si>
  <si>
    <t xml:space="preserve">   $1,250m proceeds (guidance midpoint) at a 6.0% cap = $75m NOI / 55.3% margin = $136m revenue, phased over 2H26.</t>
  </si>
  <si>
    <t>FY2026E total revenue ex-promote</t>
  </si>
  <si>
    <t>Guidance low</t>
  </si>
  <si>
    <t>Guidance high</t>
  </si>
  <si>
    <t>Within guidance?</t>
  </si>
  <si>
    <t>Variance to guidance high</t>
  </si>
  <si>
    <t>Variance %</t>
  </si>
  <si>
    <t>1H26 actual ex-promote</t>
  </si>
  <si>
    <t>$000s. Property opex driven off rental &amp; recovery revenue from Tab 3. Seasonality modelled explicitly.</t>
  </si>
  <si>
    <t>From Tab 3 row 13</t>
  </si>
  <si>
    <t xml:space="preserve">   Utilities, % of revenue</t>
  </si>
  <si>
    <t>SEASONAL: Q1 23.3%, Q2 23.7%, Q3 24.4%, Q4 25.0% (2025-26 actuals)</t>
  </si>
  <si>
    <t xml:space="preserve">   Rental property operating, %</t>
  </si>
  <si>
    <t>Declines from 17.4% to 16.6% by FY30 on operating leverage</t>
  </si>
  <si>
    <t xml:space="preserve">   Property taxes, %</t>
  </si>
  <si>
    <t xml:space="preserve">   Insurance, %</t>
  </si>
  <si>
    <t xml:space="preserve">   Total property opex, % of revenue</t>
  </si>
  <si>
    <t xml:space="preserve">   Utilities</t>
  </si>
  <si>
    <t xml:space="preserve">   Rental property operating</t>
  </si>
  <si>
    <t xml:space="preserve">   Property taxes</t>
  </si>
  <si>
    <t xml:space="preserve">   Insurance</t>
  </si>
  <si>
    <t>Total property operating expenses</t>
  </si>
  <si>
    <t xml:space="preserve">   Less: property operating expenses</t>
  </si>
  <si>
    <t>NET OPERATING INCOME</t>
  </si>
  <si>
    <t xml:space="preserve">   Less: non-cash rent adjustments</t>
  </si>
  <si>
    <t>Straight-line rent + above/below-market. FY26 guidance $145-150m.</t>
  </si>
  <si>
    <t>CASH NOI</t>
  </si>
  <si>
    <t>General and administrative</t>
  </si>
  <si>
    <t>FY26 guidance $620-630m</t>
  </si>
  <si>
    <t>G&amp;A as % of total revenue</t>
  </si>
  <si>
    <t xml:space="preserve">   Severance, equity acceleration &amp; legal</t>
  </si>
  <si>
    <t xml:space="preserve">   Transaction and integration</t>
  </si>
  <si>
    <t xml:space="preserve">   Other expenses</t>
  </si>
  <si>
    <t>Depreciation and amortization</t>
  </si>
  <si>
    <t>NoVA added $4.4bn to CIP (does NOT depreciate) and only ~$2.1bn to real estate, so the step-up is far smaller than the headline $7.8bn implies.</t>
  </si>
  <si>
    <t xml:space="preserve">   + Fee income excluding promote</t>
  </si>
  <si>
    <t xml:space="preserve">   - General and administrative</t>
  </si>
  <si>
    <t xml:space="preserve">   + Unconsolidated JV EBITDA contribution</t>
  </si>
  <si>
    <t>Actuals: 1Q26 = 60,291+35,814-1,833. 2Q26 = 62,972+37,142+36.</t>
  </si>
  <si>
    <t xml:space="preserve">   + Recurring other income</t>
  </si>
  <si>
    <t>Interest and other income net of non-core items</t>
  </si>
  <si>
    <t>ADJUSTED EBITDA</t>
  </si>
  <si>
    <t>Adjusted EBITDA margin</t>
  </si>
  <si>
    <t>Total operating revenue</t>
  </si>
  <si>
    <t xml:space="preserve">   - Property operating expenses</t>
  </si>
  <si>
    <t xml:space="preserve">   - Depreciation and amortization</t>
  </si>
  <si>
    <t xml:space="preserve">   - Severance / transaction / other</t>
  </si>
  <si>
    <t>OPERATING INCOME before gain on disposition</t>
  </si>
  <si>
    <t>FY2026E Adjusted EBITDA</t>
  </si>
  <si>
    <t>Within EBITDA guidance?</t>
  </si>
  <si>
    <t>FY2026E G&amp;A</t>
  </si>
  <si>
    <t>G&amp;A guidance low / high</t>
  </si>
  <si>
    <t>FY2026E non-cash rent adjustments</t>
  </si>
  <si>
    <t xml:space="preserve">   Non-cash rent guidance: $145-150m. Model should land in that band.</t>
  </si>
  <si>
    <t>Opening total debt</t>
  </si>
  <si>
    <t>2Q26 closing debt $18,635,349k (press release balance sheet)</t>
  </si>
  <si>
    <t xml:space="preserve">   + Net new debt issued</t>
  </si>
  <si>
    <t>Closing total debt</t>
  </si>
  <si>
    <t xml:space="preserve">   Blended interest rate</t>
  </si>
  <si>
    <t>Existing book ~3.3%; new issuance at 4.5-5.5% per guidance. Blends upward over time.</t>
  </si>
  <si>
    <t xml:space="preserve">   Gross interest expense (cash)</t>
  </si>
  <si>
    <t xml:space="preserve">   less: capitalized interest</t>
  </si>
  <si>
    <t>Calibrated to the actual trend: 29.4 / 32.9 / 34.8 / 35.6 / 37.1 over 2Q25-2Q26.</t>
  </si>
  <si>
    <t>REPORTED interest expense (P&amp;L)</t>
  </si>
  <si>
    <t>Gross less capitalized. This is the line that hits the income statement.</t>
  </si>
  <si>
    <t xml:space="preserve">   less: gross cash interest</t>
  </si>
  <si>
    <t xml:space="preserve">   less: cash taxes</t>
  </si>
  <si>
    <t>Current tax only. 2Q26: $33.7m expense + $12.7m deferred benefit = $46.4m current.</t>
  </si>
  <si>
    <t xml:space="preserve">   less: preferred dividends</t>
  </si>
  <si>
    <t>Cash flow before common dividends</t>
  </si>
  <si>
    <t xml:space="preserve">   Dividend per share and unit</t>
  </si>
  <si>
    <t xml:space="preserve">   less: common dividends</t>
  </si>
  <si>
    <t>RETAINED CASH FLOW</t>
  </si>
  <si>
    <t xml:space="preserve">   Development capex (net of partner contributions)</t>
  </si>
  <si>
    <t xml:space="preserve">   Recurring capex + capitalized leasing</t>
  </si>
  <si>
    <t>FY26 guidance $400-425m. Q4-WEIGHTED: 4Q25 was $168.5m vs $60-78m in other quarters.</t>
  </si>
  <si>
    <t xml:space="preserve">   Enhancements and other non-recurring</t>
  </si>
  <si>
    <t>TOTAL CAPITAL USES</t>
  </si>
  <si>
    <t xml:space="preserve">   less: retained cash flow</t>
  </si>
  <si>
    <t xml:space="preserve">   less: dispositions / JV capital</t>
  </si>
  <si>
    <t>FY26 guidance $1,000-1,500m</t>
  </si>
  <si>
    <t xml:space="preserve">   less: cash drawn from balance sheet</t>
  </si>
  <si>
    <t>2Q26 cash was $1,865m. Deployed through 2027 before any equity is raised.</t>
  </si>
  <si>
    <t>FUNDING GAP</t>
  </si>
  <si>
    <t>Funded by:</t>
  </si>
  <si>
    <t xml:space="preserve">     Net new debt</t>
  </si>
  <si>
    <t>2H26 per guidance ($1,500-2,000m). From 2027 the gap is funded 50% debt / 50% equity.</t>
  </si>
  <si>
    <t xml:space="preserve">     Equity issued (ATM)</t>
  </si>
  <si>
    <t>Surplus to cash / (drawn from cash)</t>
  </si>
  <si>
    <t>Positive = raised more than needed, difference builds cash. Not an error.</t>
  </si>
  <si>
    <t xml:space="preserve">   Opening cash</t>
  </si>
  <si>
    <t xml:space="preserve">   Closing cash</t>
  </si>
  <si>
    <t xml:space="preserve">   Pro-rata share of unconsolidated JV debt</t>
  </si>
  <si>
    <t>Held constant at the 2Q26 level from the NAV disclosure</t>
  </si>
  <si>
    <t xml:space="preserve">   less: pro-rata JV cash and finance leases</t>
  </si>
  <si>
    <t>NET DEBT</t>
  </si>
  <si>
    <t xml:space="preserve">   Adjusted EBITDA, annualized</t>
  </si>
  <si>
    <t>NET DEBT / ADJUSTED EBITDA</t>
  </si>
  <si>
    <t>Reported 4.7x at 2Q26. Model ties to that on the same basis.</t>
  </si>
  <si>
    <t>Opening shares and units outstanding</t>
  </si>
  <si>
    <t>2Q26: 370,010 shares + 6,665 OP units</t>
  </si>
  <si>
    <t xml:space="preserve">   + Shares issued for equity raised</t>
  </si>
  <si>
    <t xml:space="preserve">   + Stock compensation vesting</t>
  </si>
  <si>
    <t>Closing shares and units</t>
  </si>
  <si>
    <t xml:space="preserve">   Assumed issue price</t>
  </si>
  <si>
    <t>Held flat at the 4-Aug-26 close. No credit taken for a rising share price.</t>
  </si>
  <si>
    <t xml:space="preserve">   Weighted-average shares and units</t>
  </si>
  <si>
    <t xml:space="preserve">   + Effect of dilutive securities</t>
  </si>
  <si>
    <t xml:space="preserve">   + Teraco put right dilution</t>
  </si>
  <si>
    <t>FY26 net new debt</t>
  </si>
  <si>
    <t xml:space="preserve">  guidance low</t>
  </si>
  <si>
    <t xml:space="preserve">  guidance high</t>
  </si>
  <si>
    <t>Within debt guidance?</t>
  </si>
  <si>
    <t>FY26 development capex</t>
  </si>
  <si>
    <t>Within capex guidance?</t>
  </si>
  <si>
    <t>FY26 dispositions / JV capital</t>
  </si>
  <si>
    <t>Within disposition guidance?</t>
  </si>
  <si>
    <t>2H26 reported interest expense</t>
  </si>
  <si>
    <t>1H26 actual (10-Q)</t>
  </si>
  <si>
    <t>Share count growth 2Q26 to FY30</t>
  </si>
  <si>
    <t>Cumulative equity issued</t>
  </si>
  <si>
    <t>Peak net debt / EBITDA</t>
  </si>
  <si>
    <t>Cash roll-forward integrity (each period)</t>
  </si>
  <si>
    <t>FY26 recurring capex + capitalized leasing</t>
  </si>
  <si>
    <t>Within recurring capex guidance?</t>
  </si>
  <si>
    <t>$000s except per share. Same structure validated against reported figures on Historicals_Q. Forecast promote = 0 per decision D12.</t>
  </si>
  <si>
    <t>Operating income before gain, excluding promote</t>
  </si>
  <si>
    <t>Tab 4 row 54. Excludes promote, which is added back on row 9.</t>
  </si>
  <si>
    <t xml:space="preserve">   + Promote income (gross)</t>
  </si>
  <si>
    <t xml:space="preserve">   + Gain (loss) on disposition of properties</t>
  </si>
  <si>
    <t>2H26: $1.25bn of dispositions. DLR booked $996m of gains in FY25 on similar volume.</t>
  </si>
  <si>
    <t xml:space="preserve">   + Equity in earnings of unconsolidated entities</t>
  </si>
  <si>
    <t xml:space="preserve">   + Interest and other income, net</t>
  </si>
  <si>
    <t xml:space="preserve">   - Interest expense</t>
  </si>
  <si>
    <t xml:space="preserve">   - Income tax expense and debt extinguishment</t>
  </si>
  <si>
    <t>Actuals include the 1Q26 loss on debt extinguishment of $4,119k.</t>
  </si>
  <si>
    <t>NET INCOME</t>
  </si>
  <si>
    <t xml:space="preserve">   - Net (income) loss attributable to NCI</t>
  </si>
  <si>
    <t xml:space="preserve">   - Preferred stock dividends</t>
  </si>
  <si>
    <t>NET INCOME AVAILABLE TO COMMON</t>
  </si>
  <si>
    <t>Net income available to common</t>
  </si>
  <si>
    <t xml:space="preserve">   + Noncontrolling interest in operating partnership</t>
  </si>
  <si>
    <t xml:space="preserve">   + Real estate related depreciation and amortization</t>
  </si>
  <si>
    <t>D&amp;A per Tab 4 less non-real estate depreciation</t>
  </si>
  <si>
    <t xml:space="preserve">   + Reconciling items related to NCI</t>
  </si>
  <si>
    <t xml:space="preserve">   + Unconsolidated entities real estate D&amp;A</t>
  </si>
  <si>
    <t xml:space="preserve">   - (Gain) loss on real estate transactions</t>
  </si>
  <si>
    <t>Historicals_Q already stores this as a negative. Do NOT negate again.</t>
  </si>
  <si>
    <t xml:space="preserve">   + Provision for impairment</t>
  </si>
  <si>
    <t>FUNDS FROM OPERATIONS</t>
  </si>
  <si>
    <t xml:space="preserve">      memo: non-real estate depreciation</t>
  </si>
  <si>
    <t xml:space="preserve">   + Teraco noncontrolling share of FFO</t>
  </si>
  <si>
    <t>Added to the FFO NUMERATOR only; denominator already assumes the put shares are issued</t>
  </si>
  <si>
    <t>Funds From Operations</t>
  </si>
  <si>
    <t xml:space="preserve">   + Other non-core revenue adjustments</t>
  </si>
  <si>
    <t xml:space="preserve">   + Transaction and integration expenses</t>
  </si>
  <si>
    <t>Tab 4 row 34</t>
  </si>
  <si>
    <t xml:space="preserve">   + Gain (loss) on debt extinguishment</t>
  </si>
  <si>
    <t xml:space="preserve">   + Severance, equity acceleration and legal</t>
  </si>
  <si>
    <t>Tab 4 row 33</t>
  </si>
  <si>
    <t xml:space="preserve">   + (Gain) loss on FX and derivatives</t>
  </si>
  <si>
    <t xml:space="preserve">   + Other non-core expense adjustments</t>
  </si>
  <si>
    <t>CORE FFO</t>
  </si>
  <si>
    <t xml:space="preserve">   - Net promote</t>
  </si>
  <si>
    <t>CORE FFO EXCLUDING NET PROMOTE</t>
  </si>
  <si>
    <t>CORE FFO PER SHARE EXCLUDING PROMOTE</t>
  </si>
  <si>
    <t xml:space="preserve">   + Non-real estate depreciation</t>
  </si>
  <si>
    <t xml:space="preserve">   + Amortization of deferred financing costs</t>
  </si>
  <si>
    <t xml:space="preserve">   + Amortization of debt discount/premium</t>
  </si>
  <si>
    <t xml:space="preserve">   + Non-cash stock-based compensation</t>
  </si>
  <si>
    <t xml:space="preserve">   - Non-cash rent adjustments</t>
  </si>
  <si>
    <t>Actuals use the AFFO reconciliation components, NOT Tab 4 row 27: DLR uses $617k of straight-line rental expense in the cash-NOI recon but $602k in the AFFO recon.</t>
  </si>
  <si>
    <t xml:space="preserve">   + Deferred tax (benefit)/expense</t>
  </si>
  <si>
    <t xml:space="preserve">   + Leasing compensation and internal commissions</t>
  </si>
  <si>
    <t xml:space="preserve">   - Recurring capital expenditures</t>
  </si>
  <si>
    <t>Tab 5 row 29. Q4-weighted: 4Q25 was $168.5m vs $60-78m elsewhere.</t>
  </si>
  <si>
    <t>ADJUSTED FFO</t>
  </si>
  <si>
    <t>FY26 AFFO contains the 2Q26 promote. Without stripping it, FY26-27 AFFO/share growth looks flat when it is not.</t>
  </si>
  <si>
    <t>FFO-basis count less ~6,100k OP units</t>
  </si>
  <si>
    <t>WA diluted shares (excluding OP units)</t>
  </si>
  <si>
    <t>NET INCOME PER DILUTED SHARE</t>
  </si>
  <si>
    <t xml:space="preserve">   reported</t>
  </si>
  <si>
    <t xml:space="preserve">   difference</t>
  </si>
  <si>
    <t>FY2026E Core FFO/share excl. promote</t>
  </si>
  <si>
    <t xml:space="preserve">   guidance low</t>
  </si>
  <si>
    <t xml:space="preserve">   guidance high</t>
  </si>
  <si>
    <t>FY2026E FFO/share</t>
  </si>
  <si>
    <t>FY2026E net income/diluted share</t>
  </si>
  <si>
    <t>FY2027E Core FFO/share excl. promote</t>
  </si>
  <si>
    <t xml:space="preserve">   y/y growth</t>
  </si>
  <si>
    <t>FY2026E AFFO/sh excl. promote</t>
  </si>
  <si>
    <t>FY2027E AFFO/sh excl. promote</t>
  </si>
  <si>
    <t>$000s. Valuation date 31-Dec-2026 (decision D13). Explicit forecast FY2027-FY2030, mid-year discounting.</t>
  </si>
  <si>
    <t xml:space="preserve">   Risk-free rate (10-yr UST, 7-Aug-26)</t>
  </si>
  <si>
    <t xml:space="preserve">   Equity risk premium</t>
  </si>
  <si>
    <t xml:space="preserve">   Levered beta</t>
  </si>
  <si>
    <t>Data centre REIT. Sell-side uses lower discount rates: Wells Fargo 6.0%, J.P. Morgan 7.0%.</t>
  </si>
  <si>
    <t>COST OF EQUITY</t>
  </si>
  <si>
    <t xml:space="preserve">   Pre-tax cost of debt</t>
  </si>
  <si>
    <t xml:space="preserve">   Effective tax rate</t>
  </si>
  <si>
    <t>REITs distribute taxable income, so the interest tax shield is minimal.</t>
  </si>
  <si>
    <t xml:space="preserve">   After-tax cost of debt</t>
  </si>
  <si>
    <t xml:space="preserve">   Cost of preferred</t>
  </si>
  <si>
    <t xml:space="preserve">   Market value of equity</t>
  </si>
  <si>
    <t xml:space="preserve">     shares and units outstanding</t>
  </si>
  <si>
    <t xml:space="preserve">     shares and units</t>
  </si>
  <si>
    <t xml:space="preserve">     share price</t>
  </si>
  <si>
    <t xml:space="preserve">   Market value of debt</t>
  </si>
  <si>
    <t xml:space="preserve">   Preferred stock (liquidation value)</t>
  </si>
  <si>
    <t>TOTAL CAPITALISATION</t>
  </si>
  <si>
    <t xml:space="preserve">   Weight of equity</t>
  </si>
  <si>
    <t xml:space="preserve">   Weight of debt</t>
  </si>
  <si>
    <t xml:space="preserve">   Weight of preferred</t>
  </si>
  <si>
    <t>Shown to 3 decimals deliberately. The grid below uses round WACC values, so the base case will not sit exactly on a gridline.</t>
  </si>
  <si>
    <t>Year ended 31-Dec</t>
  </si>
  <si>
    <t xml:space="preserve">   Adjusted EBITDA</t>
  </si>
  <si>
    <t xml:space="preserve">   less: development capex</t>
  </si>
  <si>
    <t>Growth capex is included: this DCF values the whole business, development included.</t>
  </si>
  <si>
    <t xml:space="preserve">   less: recurring capex + capitalised leasing</t>
  </si>
  <si>
    <t xml:space="preserve">   less: enhancements and other</t>
  </si>
  <si>
    <t xml:space="preserve">   plus: dispositions / JV capital</t>
  </si>
  <si>
    <t>UNLEVERED FREE CASH FLOW</t>
  </si>
  <si>
    <t xml:space="preserve">   Discount period (mid-year)</t>
  </si>
  <si>
    <t xml:space="preserve">   Discount factor</t>
  </si>
  <si>
    <t>PV of unlevered FCF</t>
  </si>
  <si>
    <t xml:space="preserve">   FY2030E Adjusted EBITDA</t>
  </si>
  <si>
    <t xml:space="preserve">   Exit EV/EBITDA multiple</t>
  </si>
  <si>
    <t>DLR historical EV/EBITDA ~23x. Wells Fargo used 25x.</t>
  </si>
  <si>
    <t xml:space="preserve">   Terminal value</t>
  </si>
  <si>
    <t xml:space="preserve">   Discount factor at year 4</t>
  </si>
  <si>
    <t xml:space="preserve">   PV of terminal value</t>
  </si>
  <si>
    <t xml:space="preserve">   less: MAINTENANCE capex only</t>
  </si>
  <si>
    <t>Growth capex is excluded in perpetuity: a mature business funds maintenance only.</t>
  </si>
  <si>
    <t>Normalised free cash flow</t>
  </si>
  <si>
    <t xml:space="preserve">   Perpetual growth rate</t>
  </si>
  <si>
    <t>PV of terminal value</t>
  </si>
  <si>
    <t xml:space="preserve">   Implied exit EV/EBITDA multiple</t>
  </si>
  <si>
    <t>Cross-check. If this sits far below the Method 1 multiple, the exit multiple is doing too much work.</t>
  </si>
  <si>
    <t xml:space="preserve">   Sum of PV of unlevered FCF</t>
  </si>
  <si>
    <t>ENTERPRISE VALUE</t>
  </si>
  <si>
    <t xml:space="preserve">   less: net debt at 31-Dec-26</t>
  </si>
  <si>
    <t xml:space="preserve">   less: preferred stock</t>
  </si>
  <si>
    <t>EQUITY VALUE</t>
  </si>
  <si>
    <t xml:space="preserve">   Shares and units at 31-Dec-26</t>
  </si>
  <si>
    <t xml:space="preserve">   Current share price</t>
  </si>
  <si>
    <t xml:space="preserve">   Upside / (downside)</t>
  </si>
  <si>
    <t>WACC \ exit multiple</t>
  </si>
  <si>
    <t>$000s. Built on the Components of NAV that DLR publishes (supplement p.44), with the development pipeline and fee platform valued separately.</t>
  </si>
  <si>
    <t xml:space="preserve">   Consolidated cash NOI, annualised</t>
  </si>
  <si>
    <t xml:space="preserve">   DLR share of unconsolidated JV cash NOI</t>
  </si>
  <si>
    <t>Total stabilised cash NOI</t>
  </si>
  <si>
    <t xml:space="preserve">   Nominal cap rate</t>
  </si>
  <si>
    <t>DLR bought the NoVA assets at &gt;6.5%. Prime stabilised data centres trade tighter. 5.5% is the base; sensitivity below.</t>
  </si>
  <si>
    <t>STABILISED PORTFOLIO VALUE</t>
  </si>
  <si>
    <t xml:space="preserve">   Total investment at DLR share</t>
  </si>
  <si>
    <t xml:space="preserve">   Stabilised cash yield</t>
  </si>
  <si>
    <t>2Q26 blended stabilised yield. Americas 11.8%, EMEA 10.4%, APAC 11.2%.</t>
  </si>
  <si>
    <t xml:space="preserve">   Stabilised NOI at completion</t>
  </si>
  <si>
    <t>DEVELOPMENT VALUE ABOVE BOOK</t>
  </si>
  <si>
    <t>THE SPREAD. Building at 11.5% and capitalising at 5.5% is where the equity value is created.</t>
  </si>
  <si>
    <t xml:space="preserve">   Land held for future development (MW)</t>
  </si>
  <si>
    <t xml:space="preserve">   Powered shell capacity (MW)</t>
  </si>
  <si>
    <t xml:space="preserve">   Total future development capacity (MW)</t>
  </si>
  <si>
    <t xml:space="preserve">   Value creation per MW above book ($000s)</t>
  </si>
  <si>
    <t>Kansas City cost ~$0.24m/MW for raw land with utility commitment. Powered, permitted capacity is worth multiples of that. Set to zero for the strict-NAV case.</t>
  </si>
  <si>
    <t>The supply-scarcity thesis expressed as a number. Book cost gives it almost nothing.</t>
  </si>
  <si>
    <t xml:space="preserve">   Development and management fees, annualised (ex-promote)</t>
  </si>
  <si>
    <t xml:space="preserve">   Multiple</t>
  </si>
  <si>
    <t>DLR paid ~15x run-rate EBITDA for Columbia Capital. Listed alternative managers trade higher.</t>
  </si>
  <si>
    <t>PLATFORM VALUE</t>
  </si>
  <si>
    <t>Excluded from Core FFO guidance, so the market is not obviously paying for it. The variant-perception line.</t>
  </si>
  <si>
    <t xml:space="preserve">   Total other assets (as published)</t>
  </si>
  <si>
    <t xml:space="preserve">   less: development CIP already valued in Section B</t>
  </si>
  <si>
    <t>Removes the double count: CIP sits inside published other assets and is re-valued in Section B.</t>
  </si>
  <si>
    <t>Adjusted other assets</t>
  </si>
  <si>
    <t xml:space="preserve">   Total liabilities (as published)</t>
  </si>
  <si>
    <t xml:space="preserve">   Stabilised portfolio</t>
  </si>
  <si>
    <t xml:space="preserve">   Development value above book</t>
  </si>
  <si>
    <t xml:space="preserve">   Land and power bank optionality</t>
  </si>
  <si>
    <t xml:space="preserve">   Private capital platform</t>
  </si>
  <si>
    <t xml:space="preserve">   Adjusted other assets</t>
  </si>
  <si>
    <t>GROSS ASSET VALUE</t>
  </si>
  <si>
    <t xml:space="preserve">   less: total liabilities</t>
  </si>
  <si>
    <t>NET ASSET VALUE</t>
  </si>
  <si>
    <t xml:space="preserve">   Shares and units outstanding</t>
  </si>
  <si>
    <t>NAV PER SHARE</t>
  </si>
  <si>
    <t xml:space="preserve">   Premium / (discount) to NAV</t>
  </si>
  <si>
    <t>Memo: strict NAV excluding land bank optionality</t>
  </si>
  <si>
    <t>Cap rate \ $000s per MW</t>
  </si>
  <si>
    <t>$000s except per share. DLR computed from this model. EQIX from its 2Q26 release (29-Jul-26) and market data 7-Aug-26.</t>
  </si>
  <si>
    <t>Metric</t>
  </si>
  <si>
    <t>DLR</t>
  </si>
  <si>
    <t>EQIX</t>
  </si>
  <si>
    <t>MARKET DATA</t>
  </si>
  <si>
    <t xml:space="preserve">   Share price</t>
  </si>
  <si>
    <t>EQIX shares derived: FY26 AFFO $4,270m / AFFO per share $42.99</t>
  </si>
  <si>
    <t xml:space="preserve">   Market capitalisation</t>
  </si>
  <si>
    <t xml:space="preserve">   Net debt</t>
  </si>
  <si>
    <t>EQIX net debt is an ESTIMATE at ~3.5x EBITDA. Replace from its 10-Q before relying on EV/EBITDA.</t>
  </si>
  <si>
    <t xml:space="preserve">   Preferred stock</t>
  </si>
  <si>
    <t>FY2026 ESTIMATES</t>
  </si>
  <si>
    <t xml:space="preserve">   Total revenue</t>
  </si>
  <si>
    <t xml:space="preserve">   Adjusted EBITDA margin</t>
  </si>
  <si>
    <t xml:space="preserve">   Revenue growth y/y</t>
  </si>
  <si>
    <t xml:space="preserve">   Core FFO per share (DLR) / AFFO per share (EQIX)</t>
  </si>
  <si>
    <t xml:space="preserve">   AFFO per share excluding promote</t>
  </si>
  <si>
    <t xml:space="preserve">   Dividend per share</t>
  </si>
  <si>
    <t>EQIX dividend is an ESTIMATE. Verify before quoting the yield.</t>
  </si>
  <si>
    <t>FY2027 ESTIMATES</t>
  </si>
  <si>
    <t xml:space="preserve">   Core FFO per share (DLR)</t>
  </si>
  <si>
    <t>EQIX FY27 AFFO/sh estimated at +11% on FY26. Company guides 9-12% AFFO/sh growth through 2029.</t>
  </si>
  <si>
    <t xml:space="preserve">   Core FFO / AFFO per share growth</t>
  </si>
  <si>
    <t>MULTIPLES</t>
  </si>
  <si>
    <t>EV / FY26E Adjusted EBITDA</t>
  </si>
  <si>
    <t>Price / FY26E Core FFO (DLR)</t>
  </si>
  <si>
    <t>Price / FY26E AFFO ex-promote</t>
  </si>
  <si>
    <t>Price / FY27E AFFO ex-promote</t>
  </si>
  <si>
    <t>Dividend yield</t>
  </si>
  <si>
    <t>Net debt / FY26E Adjusted EBITDA</t>
  </si>
  <si>
    <t>READ-ACROSS</t>
  </si>
  <si>
    <t>DLR premium / (discount) on EV/EBITDA</t>
  </si>
  <si>
    <t>DLR premium / (discount) on FY27E AFFO</t>
  </si>
  <si>
    <t>DLR revenue growth advantage</t>
  </si>
  <si>
    <t>DLR extra leverage (turns)</t>
  </si>
  <si>
    <t xml:space="preserve">   DLR carries higher leverage and trades at a premium on AFFO. The offset is faster revenue growth and a higher EBITDA margin.</t>
  </si>
  <si>
    <t>Bear / base / bull driven by the six inputs the valuation is most sensitive to. NAV and DCF recomputed under each.</t>
  </si>
  <si>
    <t>Driver</t>
  </si>
  <si>
    <t>BEAR</t>
  </si>
  <si>
    <t>BASE</t>
  </si>
  <si>
    <t>BULL</t>
  </si>
  <si>
    <t>DRIVERS</t>
  </si>
  <si>
    <t xml:space="preserve">   NAV cap rate</t>
  </si>
  <si>
    <t xml:space="preserve">   DCF exit EV/EBITDA multiple</t>
  </si>
  <si>
    <t xml:space="preserve">   WACC</t>
  </si>
  <si>
    <t xml:space="preserve">   Development stabilised yield</t>
  </si>
  <si>
    <t xml:space="preserve">   Land bank value per MW ($000s)</t>
  </si>
  <si>
    <t xml:space="preserve">   Fee platform multiple</t>
  </si>
  <si>
    <t>NAV UNDER EACH SCENARIO</t>
  </si>
  <si>
    <t xml:space="preserve">   Land and power bank</t>
  </si>
  <si>
    <t>DCF UNDER EACH SCENARIO</t>
  </si>
  <si>
    <t xml:space="preserve">   PV of unlevered FCF</t>
  </si>
  <si>
    <t xml:space="preserve">   Enterprise value</t>
  </si>
  <si>
    <t xml:space="preserve">   less: net debt and preferred</t>
  </si>
  <si>
    <t xml:space="preserve">   Equity value</t>
  </si>
  <si>
    <t>DCF VALUE PER SHARE</t>
  </si>
  <si>
    <t>BLENDED OUTCOME</t>
  </si>
  <si>
    <t xml:space="preserve">   NAV per share</t>
  </si>
  <si>
    <t xml:space="preserve">   DCF per share</t>
  </si>
  <si>
    <t>Blended (50/50)</t>
  </si>
  <si>
    <t>Upside / (downside)</t>
  </si>
  <si>
    <t>Every method on one page. Ranges are driven live by the assumption cells on their source tabs.</t>
  </si>
  <si>
    <t>Methodology</t>
  </si>
  <si>
    <t>Midpoint</t>
  </si>
  <si>
    <t>VALUATION RANGE BY METHOD</t>
  </si>
  <si>
    <t>Street price targets (Aug-26)</t>
  </si>
  <si>
    <t>Deutsche Bank $229, RBC $227, Cantor $221, Wells Fargo $220</t>
  </si>
  <si>
    <t>WEIGHTED TARGET PRICE</t>
  </si>
  <si>
    <t xml:space="preserve">   DCF</t>
  </si>
  <si>
    <t xml:space="preserve">   NAV / sum-of-the-parts</t>
  </si>
  <si>
    <t xml:space="preserve">   Price / Core FFO</t>
  </si>
  <si>
    <t xml:space="preserve">   Price / AFFO</t>
  </si>
  <si>
    <t xml:space="preserve">   Weight check</t>
  </si>
  <si>
    <t>RETURN PROFILE</t>
  </si>
  <si>
    <t>Weighted target price</t>
  </si>
  <si>
    <t xml:space="preserve">   Price upside</t>
  </si>
  <si>
    <t xml:space="preserve">   Dividend yield</t>
  </si>
  <si>
    <t>TOTAL EXPECTED RETURN</t>
  </si>
  <si>
    <t xml:space="preserve">   Bear case (Scenarios)</t>
  </si>
  <si>
    <t xml:space="preserve">   Bull case (Scenarios)</t>
  </si>
  <si>
    <t xml:space="preserve">   Downside to bear</t>
  </si>
  <si>
    <t xml:space="preserve">   Upside to bull</t>
  </si>
  <si>
    <t>Reward / risk ratio</t>
  </si>
  <si>
    <t>KEY MODEL OUTPUTS</t>
  </si>
  <si>
    <t>FY2026E total revenue</t>
  </si>
  <si>
    <t>FY2026E Core FFO per share ex-promote</t>
  </si>
  <si>
    <t>FY2027E Core FFO per share ex-promote</t>
  </si>
  <si>
    <t>FY2027E growth</t>
  </si>
  <si>
    <t>FY2026E AFFO per share ex-promote</t>
  </si>
  <si>
    <t>FY2026E AFFO payout ratio ex-promote</t>
  </si>
  <si>
    <t>Peak net debt / Adjusted EBITDA</t>
  </si>
  <si>
    <t>Cumulative equity issued through FY30</t>
  </si>
  <si>
    <t>Check - reported (supplement p.5)</t>
  </si>
  <si>
    <t xml:space="preserve">  Tenant reimbursements - Utilities</t>
  </si>
  <si>
    <t xml:space="preserve">  Tenant reimbursements - Other</t>
  </si>
  <si>
    <t>Check - reported FFO</t>
  </si>
  <si>
    <t>Check - reported Core FFO</t>
  </si>
  <si>
    <t>Check - reported Core FFO ex-promote</t>
  </si>
  <si>
    <t>Check - reported AFFO</t>
  </si>
  <si>
    <t>DIGITAL REALTY TRUST: QUARTERLY HISTORICALS &amp; FFO BRIDGE</t>
  </si>
  <si>
    <t>CORE FFO  →  AFFO   (the cash number - what actually funds the dividend)</t>
  </si>
  <si>
    <t>SUBTRACTED - booked but not collected</t>
  </si>
  <si>
    <t>WA shares and units outstanding - basic</t>
  </si>
  <si>
    <t>WA shares and units - diluted (FFO basis)</t>
  </si>
  <si>
    <t>HIGHER - includes Teraco put dilution</t>
  </si>
  <si>
    <t>WA shares and units - diluted (Core FFO / AFFO basis)</t>
  </si>
  <si>
    <t>LOWER - excludes Teraco put until settlement</t>
  </si>
  <si>
    <t>Added to diluted FFO NUMERATOR only - see below</t>
  </si>
  <si>
    <t>FFO per share - diluted</t>
  </si>
  <si>
    <t>Core FFO per share - diluted</t>
  </si>
  <si>
    <t>Core FFO ex-promote per share - diluted</t>
  </si>
  <si>
    <t>AFFO per share - diluted</t>
  </si>
  <si>
    <t>Adding back non-cash charges:</t>
  </si>
  <si>
    <t>Removing non-cash revenue and add real cash costs:</t>
  </si>
  <si>
    <t>DIGITAL REALTY TRUST - ANNUAL HISTORICALS</t>
  </si>
  <si>
    <t>Check - reported</t>
  </si>
  <si>
    <t>WA common stock and units - basic</t>
  </si>
  <si>
    <t>WA common stock and units - diluted</t>
  </si>
  <si>
    <t>FLAT since 2022 - deliberate, funds development</t>
  </si>
  <si>
    <t>~31% - this is why GAAP EPS is meaningless here</t>
  </si>
  <si>
    <t>The asset-management story - doubled in FY25</t>
  </si>
  <si>
    <t>SOURCE DATA - Q2 2026 FINANCIAL SUPPLEMENT</t>
  </si>
  <si>
    <t>DEVELOPMENT LIFECYCLE  (supplement p.23)  -  $000s, capacity in MW</t>
  </si>
  <si>
    <t>SAME-CAPITAL OPERATING TRENDS  (supplement p.18)  -  $000s</t>
  </si>
  <si>
    <t>LEASING ACTIVITY - DLR SHARE  (supplement p.19)</t>
  </si>
  <si>
    <t>NEW - 0-1 MW: annualized GAAP rent</t>
  </si>
  <si>
    <t>NEW - 0-1 MW: kW leased (000s)</t>
  </si>
  <si>
    <t>NEW - 0-1 MW: WALT (years)</t>
  </si>
  <si>
    <t>NEW - 0-1 MW: GAAP rent per kW</t>
  </si>
  <si>
    <t>NEW - &gt;1 MW: annualized GAAP rent</t>
  </si>
  <si>
    <t>NEW - &gt;1 MW: kW leased (000s)</t>
  </si>
  <si>
    <t>NEW - &gt;1 MW: WALT (years)</t>
  </si>
  <si>
    <t>NEW - &gt;1 MW: GAAP rent per kW</t>
  </si>
  <si>
    <t>NEW - data center total: GAAP rent</t>
  </si>
  <si>
    <t>RENEWAL - 0-1 MW: kW renewed (000s)</t>
  </si>
  <si>
    <t>RENEWAL - 0-1 MW: expiring cash rent/kW</t>
  </si>
  <si>
    <t>RENEWAL - 0-1 MW: renewed cash rent/kW</t>
  </si>
  <si>
    <t>RENEWAL - 0-1 MW: cash spread</t>
  </si>
  <si>
    <t>RENEWAL - &gt;1 MW: kW renewed (000s)</t>
  </si>
  <si>
    <t>RENEWAL - &gt;1 MW: expiring cash rent/kW</t>
  </si>
  <si>
    <t>RENEWAL - &gt;1 MW: renewed cash rent/kW</t>
  </si>
  <si>
    <t>RENEWAL - &gt;1 MW: cash spread</t>
  </si>
  <si>
    <t>RENEWAL - total: cash spread</t>
  </si>
  <si>
    <t>RENEWAL - total: GAAP spread</t>
  </si>
  <si>
    <t>CHURN - 0-1 MW</t>
  </si>
  <si>
    <t>CHURN - &gt;1 MW</t>
  </si>
  <si>
    <t>CHURN - data center total</t>
  </si>
  <si>
    <t>Backlog at 2Q26 - 100% share ($m)</t>
  </si>
  <si>
    <t>Backlog at 2Q26 - DLR share ($m)</t>
  </si>
  <si>
    <t>2Q26 bookings - 100% share ($m)</t>
  </si>
  <si>
    <t>2Q26 bookings - DLR share ($m)</t>
  </si>
  <si>
    <t>July post-quarter hyperscale leases - 100% share ($m)</t>
  </si>
  <si>
    <t>July post-quarter hyperscale leases - DLR share ($m)</t>
  </si>
  <si>
    <t>GUIDANCE EVOLUTION 2026  (press release p.4) - the raise trajectory</t>
  </si>
  <si>
    <t>NOI RECONCILIATION  (press release p.12) - for the disposition gross-up</t>
  </si>
  <si>
    <t>2Q26 NEW LEASING BY REGION - DLR SHARE  (press release p.2)</t>
  </si>
  <si>
    <t>GRAND TOTAL - DLR share</t>
  </si>
  <si>
    <t>GRAND TOTAL - 100% share</t>
  </si>
  <si>
    <t>Malaysia - 2 data centers 16.5 MW + land for 14 MW</t>
  </si>
  <si>
    <t>NoVA - 64% of 3 fully leased DCs, 288 MW</t>
  </si>
  <si>
    <t>NoVA assets expected fully stabilized across 1H2027 and 1H2028 - ramp, do not switch on at once.</t>
  </si>
  <si>
    <t>COMPONENTS OF NAV  (supplement p.44) - for Tab 10  $000s</t>
  </si>
  <si>
    <t>LAND AND POWER BANK MARKED TO MARKET</t>
  </si>
  <si>
    <t>SECTION B - THE REVENUE BUILD</t>
  </si>
  <si>
    <t>Prior period total rental &amp; recovery - carries everything forward</t>
  </si>
  <si>
    <t>SECTION C - supporting: same-capital revenue growth</t>
  </si>
  <si>
    <t>ZERO - signed-not-commenced sits in Section D. Avoids double count.</t>
  </si>
  <si>
    <t>SECTION D - supporting: backlog roll-forward   ($000s annualized GAAP rent, DLR share)</t>
  </si>
  <si>
    <t>SECTION E - supporting: NoVA 288 MW consolidation</t>
  </si>
  <si>
    <t>SECTION G - CHECKS</t>
  </si>
  <si>
    <t>SECTION A - PROPERTY-LEVEL OPERATING EXPENSES</t>
  </si>
  <si>
    <t>SECTION B - NET OPERATING INCOME</t>
  </si>
  <si>
    <t>SECTION C - CORPORATE &amp; OTHER EXPENSES</t>
  </si>
  <si>
    <t>NON-CORE - excluded from Core FFO</t>
  </si>
  <si>
    <t>NON-CORE - elevated in 2H26 for the Columbia Capital close. Sits above the FFO line but is added back for Core FFO.</t>
  </si>
  <si>
    <t>SECTION D - ADJUSTED EBITDA</t>
  </si>
  <si>
    <t>SECTION E - OPERATING INCOME  (feeds the FFO bridge on Tab 5)</t>
  </si>
  <si>
    <t>SECTION F - CHECKS</t>
  </si>
  <si>
    <t>1Q26 Adjusted EBITDA - model</t>
  </si>
  <si>
    <t>1Q26 Adjusted EBITDA - reported</t>
  </si>
  <si>
    <t>2Q26 Adjusted EBITDA - model</t>
  </si>
  <si>
    <t>2Q26 Adjusted EBITDA - reported</t>
  </si>
  <si>
    <t>$000s except per share. Interest on OPENING debt and dividends on OPENING share count - deliberate, to keep the sheet free of circular references.</t>
  </si>
  <si>
    <t>SECTION A - DEBT SCHEDULE &amp; INTEREST EXPENSE</t>
  </si>
  <si>
    <t>SECTION B - CASH FLOW AVAILABLE</t>
  </si>
  <si>
    <t>Paid on OPENING share count - avoids a circular reference back through equity issuance.</t>
  </si>
  <si>
    <t>SECTION C - SOURCES &amp; USES</t>
  </si>
  <si>
    <t>1H26 not disclosed in our documents - set so FY26 lands at the guidance midpoint. Flagged as an estimate.</t>
  </si>
  <si>
    <t>SECTION D - CASH &amp; LEVERAGE</t>
  </si>
  <si>
    <t>SECTION E - SHARE COUNT</t>
  </si>
  <si>
    <t>WA DILUTED - Core FFO / AFFO basis</t>
  </si>
  <si>
    <t>6,957k - the 2Q26 gap between the FFO and Core FFO diluted counts</t>
  </si>
  <si>
    <t>WA DILUTED - FFO basis</t>
  </si>
  <si>
    <t>SECTION A - NET INCOME</t>
  </si>
  <si>
    <t>Tab 5 row 15 - reported interest, net of capitalized.</t>
  </si>
  <si>
    <t>SECTION B - FUNDS FROM OPERATIONS</t>
  </si>
  <si>
    <t>Below the 2Q26 actual of $62,972k - NoVA is now consolidated, so it leaves this line</t>
  </si>
  <si>
    <t>WA diluted shares and units - FFO basis</t>
  </si>
  <si>
    <t>FFO PER SHARE - DILUTED</t>
  </si>
  <si>
    <t>SECTION C - CORE FFO</t>
  </si>
  <si>
    <t>2Q26 actual $187,871k. Zero in forecast per D12 - valued separately in the NAV/SOTP.</t>
  </si>
  <si>
    <t>WA diluted shares and units - Core FFO basis</t>
  </si>
  <si>
    <t>SECTION D - ADJUSTED FFO</t>
  </si>
  <si>
    <t>AFFO PER SHARE - DILUTED</t>
  </si>
  <si>
    <t>SECTION E - EARNINGS PER SHARE</t>
  </si>
  <si>
    <t>1Q26 net income available to common - model</t>
  </si>
  <si>
    <t>2Q26 net income available to common - model</t>
  </si>
  <si>
    <t>2Q26 FFO - model</t>
  </si>
  <si>
    <t>2Q26 Core FFO - model</t>
  </si>
  <si>
    <t>2Q26 AFFO - model</t>
  </si>
  <si>
    <t>SECTION A - WACC</t>
  </si>
  <si>
    <t>Verified 7-Aug-26. Fed is signalling possible hikes - a rising-rate backdrop for REITs.</t>
  </si>
  <si>
    <t>SECTION B - UNLEVERED FREE CASH FLOW</t>
  </si>
  <si>
    <t>Negative in FY27 - the build cycle consumes cash before it produces it.</t>
  </si>
  <si>
    <t>SECTION C - TERMINAL VALUE</t>
  </si>
  <si>
    <t>Method 1 - exit EBITDA multiple</t>
  </si>
  <si>
    <t>Method 2 - perpetuity growth on normalised cash flow</t>
  </si>
  <si>
    <t>SECTION E - SENSITIVITY: value per share (WACC x exit multiple)</t>
  </si>
  <si>
    <t>SECTION A - STABILISED PORTFOLIO</t>
  </si>
  <si>
    <t>SECTION B - DEVELOPMENT PIPELINE  (1,402 MW under construction)</t>
  </si>
  <si>
    <t>Development CIP net of the investment tied to FY26 backlog NOI - that NOI is already in row 5.</t>
  </si>
  <si>
    <t>SECTION C - LAND AND POWER BANK  (optionality, above book cost)</t>
  </si>
  <si>
    <t>SECTION D - PRIVATE CAPITAL PLATFORM</t>
  </si>
  <si>
    <t>SECTION E - OTHER ASSETS AND LIABILITIES</t>
  </si>
  <si>
    <t>SECTION F - NET ASSET VALUE</t>
  </si>
  <si>
    <t>SECTION G - SENSITIVITY: NAV per share (cap rate x land bank value per MW)</t>
  </si>
  <si>
    <t>DCF - WACC 7.5% to 8.5%, 23x exit</t>
  </si>
  <si>
    <t>NAV - cap rate 6.0% to 5.0%, $500/MW</t>
  </si>
  <si>
    <t>Price / FY27E Core FFO - 21x to 25x</t>
  </si>
  <si>
    <t>Price / FY27E AFFO ex-promote - 22x to 26x</t>
  </si>
  <si>
    <t>Scenario blend - bear to bull</t>
  </si>
  <si>
    <t>VALUE PER SHARE - Method 1 (base case)</t>
  </si>
  <si>
    <t>Cross-check: Method 2 (perpetuity) value per share</t>
  </si>
  <si>
    <t>Cross-check only. A 3.0% perpetuity implies a 17.8x exit vs the 23.0x used above. Justifying 23.0x requires ~4.1% perpetual growth.</t>
  </si>
  <si>
    <t>SECTION D - EQUITY VALUE (base case)</t>
  </si>
  <si>
    <t>FY2031E</t>
  </si>
  <si>
    <t>FY2032E</t>
  </si>
  <si>
    <t>FY2033E</t>
  </si>
  <si>
    <t>FY2034E</t>
  </si>
  <si>
    <t>FY2035E</t>
  </si>
  <si>
    <t>FY2036E</t>
  </si>
  <si>
    <t xml:space="preserve">   EBITDA growth (post-pipeline)</t>
  </si>
  <si>
    <t xml:space="preserve">   less: investment tied to FY26 backlog NOI</t>
  </si>
  <si>
    <t xml:space="preserve">   Net investment valued here</t>
  </si>
  <si>
    <t xml:space="preserve">   less: net investment</t>
  </si>
  <si>
    <t>VALUATION SUMMARY &amp; FOOTBALL FIELD</t>
  </si>
  <si>
    <t>SCENARIO ANALYSIS</t>
  </si>
  <si>
    <t>NET ASSET VALUE / SUM OF THE PARTS</t>
  </si>
  <si>
    <t>DISCOUNTED CASH FLOW</t>
  </si>
  <si>
    <t>TRADING COMPARABLES</t>
  </si>
  <si>
    <t>FFO / CORE FFO / AFFO BRIDGE</t>
  </si>
  <si>
    <t>REVENUE BUILD</t>
  </si>
  <si>
    <t>OPERATING EXPENSES, NOI &amp; ADJUSTED EBITDA</t>
  </si>
  <si>
    <t>CAPITAL, FUNDING &amp; SHARE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</si>
</sst>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
    <numFmt numFmtId="165" formatCode="#,##0;\(#,##0\);\-"/>
    <numFmt numFmtId="166" formatCode="\$0.00;&quot;($&quot;0.00\);\-"/>
    <numFmt numFmtId="167" formatCode="0.0%"/>
    <numFmt numFmtId="168" formatCode="0.0\x"/>
    <numFmt numFmtId="169" formatCode="0.0"/>
    <numFmt numFmtId="170" formatCode="\$#,##0"/>
    <numFmt numFmtId="171" formatCode="\$#,##0;&quot;($&quot;#,##0\)"/>
    <numFmt numFmtId="172" formatCode="\$0.00"/>
    <numFmt numFmtId="173" formatCode="\$0.00;&quot;($&quot;0.00\)"/>
    <numFmt numFmtId="174" formatCode="\$#,##0.0\m"/>
    <numFmt numFmtId="175" formatCode="\$#,##0\m"/>
    <numFmt numFmtId="176" formatCode="0.00\x"/>
    <numFmt numFmtId="177" formatCode="0.000%"/>
    <numFmt numFmtId="178" formatCode="0.000"/>
  </numFmts>
  <fonts count="14" x14ac:knownFonts="1">
    <font>
      <sz val="11"/>
      <color theme="1"/>
      <name val="Calibri"/>
      <family val="2"/>
      <charset val="1"/>
    </font>
    <font>
      <b/>
      <sz val="13"/>
      <name val="Arial"/>
      <family val="2"/>
    </font>
    <font>
      <i/>
      <sz val="9"/>
      <color rgb="FF595959"/>
      <name val="Arial"/>
      <family val="2"/>
    </font>
    <font>
      <b/>
      <sz val="10"/>
      <name val="Arial"/>
      <family val="2"/>
    </font>
    <font>
      <sz val="10"/>
      <color rgb="FF000000"/>
      <name val="Arial"/>
      <family val="2"/>
    </font>
    <font>
      <sz val="10"/>
      <color rgb="FF0000FF"/>
      <name val="Arial"/>
      <family val="2"/>
    </font>
    <font>
      <sz val="10"/>
      <color rgb="FF008000"/>
      <name val="Arial"/>
      <family val="2"/>
    </font>
    <font>
      <sz val="10"/>
      <name val="Arial"/>
      <family val="2"/>
    </font>
    <font>
      <b/>
      <u/>
      <sz val="10"/>
      <name val="Arial"/>
      <family val="2"/>
    </font>
    <font>
      <b/>
      <sz val="10"/>
      <color rgb="FFFFFFFF"/>
      <name val="Arial"/>
      <family val="2"/>
    </font>
    <font>
      <i/>
      <sz val="9"/>
      <color rgb="FF7F6000"/>
      <name val="Arial"/>
      <family val="2"/>
    </font>
    <font>
      <sz val="11"/>
      <color theme="1"/>
      <name val="Calibri"/>
      <family val="2"/>
      <charset val="1"/>
    </font>
    <font>
      <sz val="10"/>
      <color rgb="FF000000"/>
      <name val="Tahoma"/>
      <family val="2"/>
    </font>
    <font>
      <sz val="10"/>
      <color theme="1"/>
      <name val="Arial"/>
      <family val="2"/>
    </font>
  </fonts>
  <fills count="11">
    <fill>
      <patternFill patternType="none"/>
    </fill>
    <fill>
      <patternFill patternType="gray125"/>
    </fill>
    <fill>
      <patternFill patternType="solid">
        <fgColor rgb="FFFFF2CC"/>
        <bgColor rgb="FFF2F2F2"/>
      </patternFill>
    </fill>
    <fill>
      <patternFill patternType="solid">
        <fgColor rgb="FF1F3864"/>
        <bgColor rgb="FF333333"/>
      </patternFill>
    </fill>
    <fill>
      <patternFill patternType="solid">
        <fgColor rgb="FFFFFF00"/>
        <bgColor rgb="FFFFFF00"/>
      </patternFill>
    </fill>
    <fill>
      <patternFill patternType="solid">
        <fgColor rgb="FFDDEBF7"/>
        <bgColor rgb="FFF2F2F2"/>
      </patternFill>
    </fill>
    <fill>
      <patternFill patternType="solid">
        <fgColor rgb="FFF2F2F2"/>
        <bgColor rgb="FFDDEBF7"/>
      </patternFill>
    </fill>
    <fill>
      <patternFill patternType="solid">
        <fgColor theme="0" tint="-0.249977111117893"/>
        <bgColor indexed="64"/>
      </patternFill>
    </fill>
    <fill>
      <patternFill patternType="solid">
        <fgColor rgb="FFFFFF00"/>
        <bgColor rgb="FFDDEBF7"/>
      </patternFill>
    </fill>
    <fill>
      <patternFill patternType="solid">
        <fgColor rgb="FFFFFF00"/>
        <bgColor indexed="64"/>
      </patternFill>
    </fill>
    <fill>
      <patternFill patternType="solid">
        <fgColor theme="6" tint="0.39997558519241921"/>
        <bgColor rgb="FFDDEBF7"/>
      </patternFill>
    </fill>
  </fills>
  <borders count="3">
    <border>
      <left/>
      <right/>
      <top/>
      <bottom/>
      <diagonal/>
    </border>
    <border>
      <left/>
      <right/>
      <top style="thin">
        <color rgb="FF808080"/>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9" fontId="11" fillId="0" borderId="0" applyFont="0" applyFill="0" applyBorder="0" applyAlignment="0" applyProtection="0"/>
  </cellStyleXfs>
  <cellXfs count="11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3" fillId="0" borderId="0" xfId="0" applyFont="1" applyAlignment="1">
      <alignment vertical="top" wrapText="1"/>
    </xf>
    <xf numFmtId="0" fontId="4" fillId="0" borderId="0" xfId="0" applyFont="1" applyAlignment="1">
      <alignment vertical="top" wrapText="1"/>
    </xf>
    <xf numFmtId="0" fontId="3" fillId="2" borderId="0" xfId="0" applyFont="1" applyFill="1" applyAlignment="1">
      <alignment vertical="top" wrapText="1"/>
    </xf>
    <xf numFmtId="0" fontId="7" fillId="0" borderId="0" xfId="0" applyFont="1" applyAlignment="1">
      <alignment vertical="top" wrapText="1"/>
    </xf>
    <xf numFmtId="0" fontId="8" fillId="0" borderId="0" xfId="0" applyFont="1" applyAlignment="1">
      <alignment horizontal="right"/>
    </xf>
    <xf numFmtId="0" fontId="9" fillId="3" borderId="0" xfId="0" applyFont="1" applyFill="1"/>
    <xf numFmtId="0" fontId="0" fillId="3" borderId="0" xfId="0" applyFill="1"/>
    <xf numFmtId="164" fontId="5" fillId="0" borderId="0" xfId="0" applyNumberFormat="1" applyFont="1"/>
    <xf numFmtId="0" fontId="3" fillId="0" borderId="1" xfId="0" applyFont="1" applyBorder="1"/>
    <xf numFmtId="164" fontId="3" fillId="0" borderId="1" xfId="0" applyNumberFormat="1" applyFont="1" applyBorder="1"/>
    <xf numFmtId="164" fontId="3" fillId="0" borderId="0" xfId="0" applyNumberFormat="1" applyFont="1"/>
    <xf numFmtId="164" fontId="4" fillId="4" borderId="0" xfId="0" applyNumberFormat="1" applyFont="1" applyFill="1"/>
    <xf numFmtId="164" fontId="4" fillId="0" borderId="0" xfId="0" applyNumberFormat="1" applyFont="1"/>
    <xf numFmtId="165" fontId="5" fillId="0" borderId="0" xfId="0" applyNumberFormat="1" applyFont="1"/>
    <xf numFmtId="166" fontId="3" fillId="0" borderId="0" xfId="0" applyNumberFormat="1" applyFont="1"/>
    <xf numFmtId="166" fontId="5" fillId="0" borderId="0" xfId="0" applyNumberFormat="1" applyFont="1"/>
    <xf numFmtId="167" fontId="4" fillId="0" borderId="0" xfId="0" applyNumberFormat="1" applyFont="1"/>
    <xf numFmtId="168" fontId="5" fillId="0" borderId="0" xfId="0" applyNumberFormat="1" applyFont="1"/>
    <xf numFmtId="165" fontId="3" fillId="0" borderId="0" xfId="0" applyNumberFormat="1" applyFont="1"/>
    <xf numFmtId="0" fontId="8" fillId="0" borderId="0" xfId="0" applyFont="1" applyAlignment="1">
      <alignment horizontal="center" wrapText="1"/>
    </xf>
    <xf numFmtId="3" fontId="5" fillId="0" borderId="0" xfId="0" applyNumberFormat="1" applyFont="1"/>
    <xf numFmtId="167" fontId="5" fillId="0" borderId="0" xfId="0" applyNumberFormat="1" applyFont="1"/>
    <xf numFmtId="0" fontId="5" fillId="0" borderId="0" xfId="0" applyFont="1" applyAlignment="1">
      <alignment horizontal="center"/>
    </xf>
    <xf numFmtId="3" fontId="3" fillId="0" borderId="0" xfId="0" applyNumberFormat="1" applyFont="1"/>
    <xf numFmtId="167" fontId="3" fillId="0" borderId="0" xfId="0" applyNumberFormat="1" applyFont="1"/>
    <xf numFmtId="0" fontId="3" fillId="0" borderId="0" xfId="0" applyFont="1" applyAlignment="1">
      <alignment horizontal="center"/>
    </xf>
    <xf numFmtId="169" fontId="5" fillId="0" borderId="0" xfId="0" applyNumberFormat="1" applyFont="1"/>
    <xf numFmtId="170" fontId="5" fillId="0" borderId="0" xfId="0" applyNumberFormat="1" applyFont="1"/>
    <xf numFmtId="1" fontId="5" fillId="0" borderId="0" xfId="0" applyNumberFormat="1" applyFont="1"/>
    <xf numFmtId="171" fontId="5" fillId="0" borderId="0" xfId="0" applyNumberFormat="1" applyFont="1"/>
    <xf numFmtId="172" fontId="5" fillId="0" borderId="0" xfId="0" applyNumberFormat="1" applyFont="1"/>
    <xf numFmtId="173" fontId="5" fillId="0" borderId="0" xfId="0" applyNumberFormat="1" applyFont="1"/>
    <xf numFmtId="172" fontId="3" fillId="0" borderId="0" xfId="0" applyNumberFormat="1" applyFont="1"/>
    <xf numFmtId="2" fontId="5" fillId="0" borderId="0" xfId="0" applyNumberFormat="1" applyFont="1"/>
    <xf numFmtId="169" fontId="3" fillId="0" borderId="0" xfId="0" applyNumberFormat="1" applyFont="1"/>
    <xf numFmtId="170" fontId="3" fillId="0" borderId="0" xfId="0" applyNumberFormat="1" applyFont="1"/>
    <xf numFmtId="174" fontId="5" fillId="0" borderId="0" xfId="0" applyNumberFormat="1" applyFont="1"/>
    <xf numFmtId="175" fontId="3" fillId="0" borderId="0" xfId="0" applyNumberFormat="1" applyFont="1"/>
    <xf numFmtId="175" fontId="5" fillId="0" borderId="0" xfId="0" applyNumberFormat="1" applyFont="1"/>
    <xf numFmtId="164" fontId="4" fillId="0" borderId="2" xfId="0" applyNumberFormat="1" applyFont="1" applyBorder="1"/>
    <xf numFmtId="0" fontId="10" fillId="0" borderId="0" xfId="0" applyFont="1"/>
    <xf numFmtId="164" fontId="5" fillId="5" borderId="2" xfId="0" applyNumberFormat="1" applyFont="1" applyFill="1" applyBorder="1"/>
    <xf numFmtId="164" fontId="3" fillId="0" borderId="2" xfId="0" applyNumberFormat="1" applyFont="1" applyBorder="1"/>
    <xf numFmtId="164" fontId="6" fillId="0" borderId="2" xfId="0" applyNumberFormat="1" applyFont="1" applyBorder="1"/>
    <xf numFmtId="164" fontId="3" fillId="6" borderId="2" xfId="0" applyNumberFormat="1" applyFont="1" applyFill="1" applyBorder="1"/>
    <xf numFmtId="167" fontId="4" fillId="0" borderId="2" xfId="0" applyNumberFormat="1" applyFont="1" applyBorder="1"/>
    <xf numFmtId="167" fontId="5" fillId="5" borderId="2" xfId="0" applyNumberFormat="1" applyFont="1" applyFill="1" applyBorder="1"/>
    <xf numFmtId="10" fontId="4" fillId="0" borderId="2" xfId="0" applyNumberFormat="1" applyFont="1" applyBorder="1"/>
    <xf numFmtId="167" fontId="3" fillId="0" borderId="2" xfId="0" applyNumberFormat="1" applyFont="1" applyBorder="1"/>
    <xf numFmtId="164" fontId="3" fillId="5" borderId="2" xfId="0" applyNumberFormat="1" applyFont="1" applyFill="1" applyBorder="1"/>
    <xf numFmtId="0" fontId="3" fillId="4" borderId="2" xfId="0" applyFont="1" applyFill="1" applyBorder="1"/>
    <xf numFmtId="0" fontId="4" fillId="3" borderId="0" xfId="0" applyFont="1" applyFill="1"/>
    <xf numFmtId="10" fontId="5" fillId="5" borderId="2" xfId="0" applyNumberFormat="1" applyFont="1" applyFill="1" applyBorder="1"/>
    <xf numFmtId="10" fontId="3" fillId="0" borderId="2" xfId="0" applyNumberFormat="1" applyFont="1" applyBorder="1"/>
    <xf numFmtId="164" fontId="4" fillId="4" borderId="2" xfId="0" applyNumberFormat="1" applyFont="1" applyFill="1" applyBorder="1"/>
    <xf numFmtId="164" fontId="7" fillId="0" borderId="2" xfId="0" applyNumberFormat="1" applyFont="1" applyBorder="1"/>
    <xf numFmtId="172" fontId="5" fillId="5" borderId="2" xfId="0" applyNumberFormat="1" applyFont="1" applyFill="1" applyBorder="1"/>
    <xf numFmtId="172" fontId="7" fillId="0" borderId="2" xfId="0" applyNumberFormat="1" applyFont="1" applyBorder="1"/>
    <xf numFmtId="176" fontId="3" fillId="6" borderId="2" xfId="0" applyNumberFormat="1" applyFont="1" applyFill="1" applyBorder="1"/>
    <xf numFmtId="176" fontId="3" fillId="0" borderId="2" xfId="0" applyNumberFormat="1" applyFont="1" applyBorder="1"/>
    <xf numFmtId="165" fontId="7" fillId="0" borderId="2" xfId="0" applyNumberFormat="1" applyFont="1" applyBorder="1"/>
    <xf numFmtId="165" fontId="5" fillId="5" borderId="2" xfId="0" applyNumberFormat="1" applyFont="1" applyFill="1" applyBorder="1"/>
    <xf numFmtId="165" fontId="3" fillId="5" borderId="2" xfId="0" applyNumberFormat="1" applyFont="1" applyFill="1" applyBorder="1"/>
    <xf numFmtId="165" fontId="3" fillId="0" borderId="2" xfId="0" applyNumberFormat="1" applyFont="1" applyBorder="1"/>
    <xf numFmtId="165" fontId="6" fillId="0" borderId="2" xfId="0" applyNumberFormat="1" applyFont="1" applyBorder="1"/>
    <xf numFmtId="165" fontId="3" fillId="6" borderId="2" xfId="0" applyNumberFormat="1" applyFont="1" applyFill="1" applyBorder="1"/>
    <xf numFmtId="167" fontId="7" fillId="0" borderId="2" xfId="0" applyNumberFormat="1" applyFont="1" applyBorder="1"/>
    <xf numFmtId="176" fontId="7" fillId="0" borderId="2" xfId="0" applyNumberFormat="1" applyFont="1" applyBorder="1"/>
    <xf numFmtId="166" fontId="3" fillId="0" borderId="2" xfId="0" applyNumberFormat="1" applyFont="1" applyBorder="1"/>
    <xf numFmtId="166" fontId="3" fillId="6" borderId="2" xfId="0" applyNumberFormat="1" applyFont="1" applyFill="1" applyBorder="1"/>
    <xf numFmtId="166" fontId="6" fillId="0" borderId="2" xfId="0" applyNumberFormat="1" applyFont="1" applyBorder="1"/>
    <xf numFmtId="166" fontId="7" fillId="0" borderId="2" xfId="0" applyNumberFormat="1" applyFont="1" applyBorder="1"/>
    <xf numFmtId="164" fontId="7" fillId="4" borderId="2" xfId="0" applyNumberFormat="1" applyFont="1" applyFill="1" applyBorder="1"/>
    <xf numFmtId="2" fontId="5" fillId="5" borderId="2" xfId="0" applyNumberFormat="1" applyFont="1" applyFill="1" applyBorder="1"/>
    <xf numFmtId="10" fontId="7" fillId="0" borderId="2" xfId="0" applyNumberFormat="1" applyFont="1" applyBorder="1"/>
    <xf numFmtId="3" fontId="5" fillId="5" borderId="2" xfId="0" applyNumberFormat="1" applyFont="1" applyFill="1" applyBorder="1"/>
    <xf numFmtId="3" fontId="7" fillId="0" borderId="2" xfId="0" applyNumberFormat="1" applyFont="1" applyBorder="1"/>
    <xf numFmtId="166" fontId="5" fillId="5" borderId="2" xfId="0" applyNumberFormat="1" applyFont="1" applyFill="1" applyBorder="1"/>
    <xf numFmtId="177" fontId="3" fillId="6" borderId="2" xfId="0" applyNumberFormat="1" applyFont="1" applyFill="1" applyBorder="1"/>
    <xf numFmtId="169" fontId="5" fillId="5" borderId="2" xfId="0" applyNumberFormat="1" applyFont="1" applyFill="1" applyBorder="1"/>
    <xf numFmtId="178" fontId="7" fillId="0" borderId="2" xfId="0" applyNumberFormat="1" applyFont="1" applyBorder="1"/>
    <xf numFmtId="168" fontId="5" fillId="5" borderId="2" xfId="0" applyNumberFormat="1" applyFont="1" applyFill="1" applyBorder="1"/>
    <xf numFmtId="168" fontId="7" fillId="0" borderId="2" xfId="0" applyNumberFormat="1" applyFont="1" applyBorder="1"/>
    <xf numFmtId="168" fontId="8" fillId="0" borderId="0" xfId="0" applyNumberFormat="1" applyFont="1" applyAlignment="1">
      <alignment horizontal="right"/>
    </xf>
    <xf numFmtId="10" fontId="3" fillId="0" borderId="0" xfId="0" applyNumberFormat="1" applyFont="1"/>
    <xf numFmtId="166" fontId="3" fillId="4" borderId="2" xfId="0" applyNumberFormat="1" applyFont="1" applyFill="1" applyBorder="1"/>
    <xf numFmtId="3" fontId="6" fillId="0" borderId="2" xfId="0" applyNumberFormat="1" applyFont="1" applyBorder="1"/>
    <xf numFmtId="164" fontId="8" fillId="0" borderId="0" xfId="0" applyNumberFormat="1" applyFont="1" applyAlignment="1">
      <alignment horizontal="right"/>
    </xf>
    <xf numFmtId="168" fontId="3" fillId="6" borderId="2" xfId="0" applyNumberFormat="1" applyFont="1" applyFill="1" applyBorder="1"/>
    <xf numFmtId="167" fontId="3" fillId="6" borderId="2" xfId="0" applyNumberFormat="1" applyFont="1" applyFill="1" applyBorder="1"/>
    <xf numFmtId="167" fontId="3" fillId="4" borderId="2" xfId="0" applyNumberFormat="1" applyFont="1" applyFill="1" applyBorder="1"/>
    <xf numFmtId="164" fontId="0" fillId="0" borderId="0" xfId="0" applyNumberFormat="1"/>
    <xf numFmtId="9" fontId="0" fillId="0" borderId="0" xfId="1" applyFont="1"/>
    <xf numFmtId="0" fontId="5" fillId="0" borderId="0" xfId="0" applyNumberFormat="1" applyFont="1"/>
    <xf numFmtId="0" fontId="3" fillId="0" borderId="0" xfId="0" applyNumberFormat="1" applyFont="1"/>
    <xf numFmtId="4" fontId="5" fillId="0" borderId="0" xfId="0" applyNumberFormat="1" applyFont="1"/>
    <xf numFmtId="4" fontId="3" fillId="0" borderId="0" xfId="0" applyNumberFormat="1" applyFont="1"/>
    <xf numFmtId="166" fontId="3" fillId="7" borderId="2" xfId="0" applyNumberFormat="1" applyFont="1" applyFill="1" applyBorder="1"/>
    <xf numFmtId="167" fontId="5" fillId="5" borderId="2" xfId="1" applyNumberFormat="1" applyFont="1" applyFill="1" applyBorder="1"/>
    <xf numFmtId="169" fontId="0" fillId="0" borderId="0" xfId="0" applyNumberFormat="1"/>
    <xf numFmtId="164" fontId="5" fillId="0" borderId="2" xfId="0" applyNumberFormat="1" applyFont="1" applyBorder="1"/>
    <xf numFmtId="164" fontId="13" fillId="0" borderId="2" xfId="0" applyNumberFormat="1" applyFont="1" applyBorder="1"/>
    <xf numFmtId="166" fontId="3" fillId="8" borderId="2" xfId="0" applyNumberFormat="1" applyFont="1" applyFill="1" applyBorder="1"/>
    <xf numFmtId="166" fontId="3" fillId="9" borderId="2" xfId="0" applyNumberFormat="1" applyFont="1" applyFill="1" applyBorder="1"/>
    <xf numFmtId="166" fontId="3" fillId="10" borderId="2" xfId="0" applyNumberFormat="1" applyFont="1" applyFill="1" applyBorder="1"/>
  </cellXfs>
  <cellStyles count="2">
    <cellStyle name="Normal" xfId="0" builtinId="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BFBFBF"/>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person displayName="Zaman, Md Saeed" id="{F0A1A3CC-BBD6-8F44-BA3C-ECBAB600E30B}" userId="S::mzaman3@ur.rochester.edu::6c412564-01af-462b-8a8b-24b0abccaa78" providerId="AD"/>
</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5" dT="2026-09-12T18:55:33.61" personId="{F0A1A3CC-BBD6-8F44-BA3C-ECBAB600E30B}" id="{F4A94BFB-BABD-CA41-A52D-8B0D13A72227}">
    <text>something to monitor</text>
  </threadedComment>
</ThreadedComments>
</file>

<file path=xl/threadedComments/threadedComment2.xml><?xml version="1.0" encoding="utf-8"?>
<ThreadedComments xmlns="http://schemas.microsoft.com/office/spreadsheetml/2018/threadedcomments" xmlns:x="http://schemas.openxmlformats.org/spreadsheetml/2006/main">
  <threadedComment ref="L29" dT="2026-09-18T02:01:48.80" personId="{F0A1A3CC-BBD6-8F44-BA3C-ECBAB600E30B}" id="{A9BDE11F-D4EA-9446-8AAC-45C4EFB1B7DD}">
    <text xml:space="preserve">Terminal value falls from 97% to 82% of EV. Value per share moves only $221.04 to $224.30 and the weighted target from $204.66 to $205.60, confirming the concentration reflected the build cycle rather than a modelling distortion. FY31-36 assumes EBITDA growth fading 7.0% to 4.0% and development capex fading $3.6bn to $2.2bn as the 1.4 GW pipeline delivers.
</text>
  </threadedComment>
</ThreadedComments>
</file>

<file path=xl/threadedComments/threadedComment3.xml><?xml version="1.0" encoding="utf-8"?>
<ThreadedComments xmlns="http://schemas.microsoft.com/office/spreadsheetml/2018/threadedcomments" xmlns:x="http://schemas.openxmlformats.org/spreadsheetml/2006/main">
  <threadedComment ref="D32" dT="2026-09-18T01:00:01.41" personId="{F0A1A3CC-BBD6-8F44-BA3C-ECBAB600E30B}" id="{F70C901A-2D3F-9F4E-9359-C91137D736B9}">
    <text xml:space="preserve">Renewal spreads are 10% (guidance midpoint), but only 22% of the rent roll comes up for renewal in any given year. The other 78% is locked into existing contracts and does not reprice.
</text>
  </threadedComment>
</ThreadedComments>
</file>

<file path=xl/threadedComments/threadedComment4.xml><?xml version="1.0" encoding="utf-8"?>
<ThreadedComments xmlns="http://schemas.microsoft.com/office/spreadsheetml/2018/threadedcomments" xmlns:x="http://schemas.openxmlformats.org/spreadsheetml/2006/main">
  <threadedComment ref="F13" dT="2026-09-11T01:05:26.60" personId="{F0A1A3CC-BBD6-8F44-BA3C-ECBAB600E30B}" id="{047A9BCD-DBE9-4048-B5FF-65C023580900}">
    <text>$201m gross promote from the Blackstone JV buy-in. Underlying fee income was ~$48m.</text>
  </threadedComment>
  <threadedComment ref="F18" dT="2026-09-11T01:07:08.52" personId="{F0A1A3CC-BBD6-8F44-BA3C-ECBAB600E30B}" id="{579B4600-03EA-3E44-AB01-645B61AFD2C3}">
    <text>$396,454k against $352,897k reimbursed. DLR recovers about 89% of power cost. The $43.6m gap is the unrecovered portion.</text>
  </threadedComment>
  <threadedComment ref="B31" dT="2026-09-11T01:01:30.31" personId="{F0A1A3CC-BBD6-8F44-BA3C-ECBAB600E30B}" id="{82CBF35F-B5BB-4946-B48A-F080C6292368}">
    <text>Reason for $1.05bn Net Income in 2Q25. No earnings collapsed.</text>
  </threadedComment>
  <threadedComment ref="A53" dT="2026-09-12T17:36:58.21" personId="{F0A1A3CC-BBD6-8F44-BA3C-ECBAB600E30B}" id="{4B0F4022-5989-2D4D-BDEE-39C73B2C45B8}">
    <text xml:space="preserve">Nareit created FFO in 1991 to undo the distortion: Real estate Depreciation &gt; Net Income to common. Depreciation assumes a wasting asset; real estate usually appreciates. </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7"/>
  <sheetViews>
    <sheetView topLeftCell="A43" zoomScale="200" zoomScaleNormal="100" workbookViewId="0">
      <selection activeCell="A5" sqref="A5"/>
    </sheetView>
  </sheetViews>
  <sheetFormatPr baseColWidth="10" defaultColWidth="8.6640625" defaultRowHeight="15" x14ac:dyDescent="0.2"/>
  <cols>
    <col min="1" max="1" width="108" customWidth="1"/>
  </cols>
  <sheetData>
    <row r="1" spans="1:1" ht="15.75" customHeight="1" x14ac:dyDescent="0.2">
      <c r="A1" s="1" t="s">
        <v>0</v>
      </c>
    </row>
    <row r="2" spans="1:1" ht="15" customHeight="1" x14ac:dyDescent="0.2">
      <c r="A2" s="2" t="s">
        <v>1</v>
      </c>
    </row>
    <row r="4" spans="1:1" ht="15" customHeight="1" x14ac:dyDescent="0.2">
      <c r="A4" s="3" t="s">
        <v>2</v>
      </c>
    </row>
    <row r="5" spans="1:1" ht="15" customHeight="1" x14ac:dyDescent="0.2">
      <c r="A5" s="4" t="s">
        <v>3</v>
      </c>
    </row>
    <row r="6" spans="1:1" ht="15" customHeight="1" x14ac:dyDescent="0.2">
      <c r="A6" s="4" t="s">
        <v>4</v>
      </c>
    </row>
    <row r="8" spans="1:1" ht="15" customHeight="1" x14ac:dyDescent="0.2">
      <c r="A8" s="3" t="s">
        <v>5</v>
      </c>
    </row>
    <row r="9" spans="1:1" ht="15" customHeight="1" x14ac:dyDescent="0.2">
      <c r="A9" s="5" t="s">
        <v>6</v>
      </c>
    </row>
    <row r="10" spans="1:1" ht="15" customHeight="1" x14ac:dyDescent="0.2">
      <c r="A10" s="4" t="s">
        <v>7</v>
      </c>
    </row>
    <row r="11" spans="1:1" ht="15" customHeight="1" x14ac:dyDescent="0.2">
      <c r="A11" s="6" t="s">
        <v>8</v>
      </c>
    </row>
    <row r="12" spans="1:1" ht="15" customHeight="1" x14ac:dyDescent="0.2">
      <c r="A12" s="4" t="s">
        <v>9</v>
      </c>
    </row>
    <row r="14" spans="1:1" ht="15" customHeight="1" x14ac:dyDescent="0.2">
      <c r="A14" s="3" t="s">
        <v>10</v>
      </c>
    </row>
    <row r="15" spans="1:1" ht="15" customHeight="1" x14ac:dyDescent="0.2">
      <c r="A15" s="4" t="s">
        <v>11</v>
      </c>
    </row>
    <row r="16" spans="1:1" ht="15" customHeight="1" x14ac:dyDescent="0.2">
      <c r="A16" s="4" t="s">
        <v>12</v>
      </c>
    </row>
    <row r="17" spans="1:1" ht="15" customHeight="1" x14ac:dyDescent="0.2">
      <c r="A17" s="4" t="s">
        <v>13</v>
      </c>
    </row>
    <row r="18" spans="1:1" ht="15" customHeight="1" x14ac:dyDescent="0.2">
      <c r="A18" s="4" t="s">
        <v>14</v>
      </c>
    </row>
    <row r="19" spans="1:1" ht="15" customHeight="1" x14ac:dyDescent="0.2">
      <c r="A19" s="4" t="s">
        <v>15</v>
      </c>
    </row>
    <row r="20" spans="1:1" ht="15" customHeight="1" x14ac:dyDescent="0.2">
      <c r="A20" s="4" t="s">
        <v>16</v>
      </c>
    </row>
    <row r="22" spans="1:1" ht="15" customHeight="1" x14ac:dyDescent="0.2">
      <c r="A22" s="3" t="s">
        <v>17</v>
      </c>
    </row>
    <row r="23" spans="1:1" ht="15" customHeight="1" x14ac:dyDescent="0.2">
      <c r="A23" s="4" t="s">
        <v>18</v>
      </c>
    </row>
    <row r="24" spans="1:1" ht="15" customHeight="1" x14ac:dyDescent="0.2">
      <c r="A24" s="4" t="s">
        <v>19</v>
      </c>
    </row>
    <row r="25" spans="1:1" ht="15" customHeight="1" x14ac:dyDescent="0.2">
      <c r="A25" s="4" t="s">
        <v>20</v>
      </c>
    </row>
    <row r="26" spans="1:1" ht="15" customHeight="1" x14ac:dyDescent="0.2">
      <c r="A26" s="4" t="s">
        <v>21</v>
      </c>
    </row>
    <row r="27" spans="1:1" ht="15" customHeight="1" x14ac:dyDescent="0.2">
      <c r="A27" s="4" t="s">
        <v>22</v>
      </c>
    </row>
    <row r="29" spans="1:1" ht="15" customHeight="1" x14ac:dyDescent="0.2">
      <c r="A29" s="3" t="s">
        <v>23</v>
      </c>
    </row>
    <row r="30" spans="1:1" ht="15" customHeight="1" x14ac:dyDescent="0.2">
      <c r="A30" s="4" t="s">
        <v>24</v>
      </c>
    </row>
    <row r="31" spans="1:1" ht="15" customHeight="1" x14ac:dyDescent="0.2">
      <c r="A31" s="4" t="s">
        <v>25</v>
      </c>
    </row>
    <row r="32" spans="1:1" ht="15" customHeight="1" x14ac:dyDescent="0.2">
      <c r="A32" s="4" t="s">
        <v>26</v>
      </c>
    </row>
    <row r="33" spans="1:1" ht="15" customHeight="1" x14ac:dyDescent="0.2">
      <c r="A33" s="4" t="s">
        <v>27</v>
      </c>
    </row>
    <row r="34" spans="1:1" ht="15" customHeight="1" x14ac:dyDescent="0.2">
      <c r="A34" s="4" t="s">
        <v>28</v>
      </c>
    </row>
    <row r="35" spans="1:1" ht="15" customHeight="1" x14ac:dyDescent="0.2">
      <c r="A35" s="4" t="s">
        <v>29</v>
      </c>
    </row>
    <row r="36" spans="1:1" ht="15" customHeight="1" x14ac:dyDescent="0.2">
      <c r="A36" s="4" t="s">
        <v>30</v>
      </c>
    </row>
    <row r="38" spans="1:1" ht="15" customHeight="1" x14ac:dyDescent="0.2">
      <c r="A38" s="3" t="s">
        <v>31</v>
      </c>
    </row>
    <row r="39" spans="1:1" ht="15" customHeight="1" x14ac:dyDescent="0.2">
      <c r="A39" s="4" t="s">
        <v>32</v>
      </c>
    </row>
    <row r="40" spans="1:1" ht="15" customHeight="1" x14ac:dyDescent="0.2">
      <c r="A40" s="4" t="s">
        <v>33</v>
      </c>
    </row>
    <row r="41" spans="1:1" ht="15" customHeight="1" x14ac:dyDescent="0.2">
      <c r="A41" s="4" t="s">
        <v>34</v>
      </c>
    </row>
    <row r="42" spans="1:1" ht="15" customHeight="1" x14ac:dyDescent="0.2">
      <c r="A42" s="4" t="s">
        <v>35</v>
      </c>
    </row>
    <row r="43" spans="1:1" ht="15" customHeight="1" x14ac:dyDescent="0.2">
      <c r="A43" s="4" t="s">
        <v>36</v>
      </c>
    </row>
    <row r="44" spans="1:1" ht="15" customHeight="1" x14ac:dyDescent="0.2">
      <c r="A44" s="4" t="s">
        <v>37</v>
      </c>
    </row>
    <row r="45" spans="1:1" ht="15" customHeight="1" x14ac:dyDescent="0.2">
      <c r="A45" s="4" t="s">
        <v>38</v>
      </c>
    </row>
    <row r="46" spans="1:1" ht="15" customHeight="1" x14ac:dyDescent="0.2">
      <c r="A46" s="4" t="s">
        <v>39</v>
      </c>
    </row>
    <row r="47" spans="1:1" ht="15" customHeight="1" x14ac:dyDescent="0.2">
      <c r="A47" s="4" t="s">
        <v>40</v>
      </c>
    </row>
    <row r="54" spans="1:1" x14ac:dyDescent="0.2">
      <c r="A54" s="3" t="s">
        <v>41</v>
      </c>
    </row>
    <row r="55" spans="1:1" x14ac:dyDescent="0.2">
      <c r="A55" s="7" t="s">
        <v>42</v>
      </c>
    </row>
    <row r="56" spans="1:1" x14ac:dyDescent="0.2">
      <c r="A56" s="7" t="s">
        <v>43</v>
      </c>
    </row>
    <row r="58" spans="1:1" x14ac:dyDescent="0.2">
      <c r="A58" s="3" t="s">
        <v>44</v>
      </c>
    </row>
    <row r="59" spans="1:1" x14ac:dyDescent="0.2">
      <c r="A59" s="7" t="s">
        <v>45</v>
      </c>
    </row>
    <row r="60" spans="1:1" x14ac:dyDescent="0.2">
      <c r="A60" s="7" t="s">
        <v>46</v>
      </c>
    </row>
    <row r="61" spans="1:1" x14ac:dyDescent="0.2">
      <c r="A61" s="7" t="s">
        <v>47</v>
      </c>
    </row>
    <row r="62" spans="1:1" x14ac:dyDescent="0.2">
      <c r="A62" s="7" t="s">
        <v>48</v>
      </c>
    </row>
    <row r="64" spans="1:1" x14ac:dyDescent="0.2">
      <c r="A64" s="3" t="s">
        <v>49</v>
      </c>
    </row>
    <row r="65" spans="1:1" x14ac:dyDescent="0.2">
      <c r="A65" s="7" t="s">
        <v>50</v>
      </c>
    </row>
    <row r="66" spans="1:1" x14ac:dyDescent="0.2">
      <c r="A66" s="7" t="s">
        <v>51</v>
      </c>
    </row>
    <row r="67" spans="1:1" x14ac:dyDescent="0.2">
      <c r="A67" s="7" t="s">
        <v>52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6"/>
  <sheetViews>
    <sheetView zoomScale="170" zoomScaleNormal="100" workbookViewId="0">
      <pane ySplit="4" topLeftCell="A10" activePane="bottomLeft" state="frozen"/>
      <selection pane="bottomLeft"/>
    </sheetView>
  </sheetViews>
  <sheetFormatPr baseColWidth="10" defaultColWidth="8.6640625" defaultRowHeight="15" x14ac:dyDescent="0.2"/>
  <cols>
    <col min="1" max="1" width="6" customWidth="1"/>
    <col min="2" max="2" width="15" customWidth="1"/>
    <col min="3" max="3" width="26" customWidth="1"/>
    <col min="4" max="4" width="30" customWidth="1"/>
    <col min="5" max="5" width="74" customWidth="1"/>
    <col min="6" max="6" width="12" customWidth="1"/>
  </cols>
  <sheetData>
    <row r="1" spans="1:6" ht="15.75" customHeight="1" x14ac:dyDescent="0.2">
      <c r="A1" s="1" t="s">
        <v>53</v>
      </c>
    </row>
    <row r="2" spans="1:6" ht="15" customHeight="1" x14ac:dyDescent="0.2">
      <c r="A2" s="2" t="s">
        <v>54</v>
      </c>
    </row>
    <row r="4" spans="1:6" ht="15" customHeight="1" x14ac:dyDescent="0.2">
      <c r="A4" s="8" t="s">
        <v>55</v>
      </c>
      <c r="B4" s="8" t="s">
        <v>56</v>
      </c>
      <c r="C4" s="8" t="s">
        <v>57</v>
      </c>
      <c r="D4" s="8" t="s">
        <v>58</v>
      </c>
      <c r="E4" s="8" t="s">
        <v>59</v>
      </c>
      <c r="F4" s="8" t="s">
        <v>60</v>
      </c>
    </row>
    <row r="5" spans="1:6" ht="42" customHeight="1" x14ac:dyDescent="0.2">
      <c r="A5" s="9" t="s">
        <v>61</v>
      </c>
      <c r="B5" s="10" t="s">
        <v>62</v>
      </c>
      <c r="C5" s="10" t="s">
        <v>63</v>
      </c>
      <c r="D5" s="9" t="s">
        <v>64</v>
      </c>
      <c r="E5" s="10" t="s">
        <v>65</v>
      </c>
      <c r="F5" s="9" t="s">
        <v>66</v>
      </c>
    </row>
    <row r="6" spans="1:6" ht="42" customHeight="1" x14ac:dyDescent="0.2">
      <c r="A6" s="9" t="s">
        <v>67</v>
      </c>
      <c r="B6" s="10" t="s">
        <v>62</v>
      </c>
      <c r="C6" s="10" t="s">
        <v>68</v>
      </c>
      <c r="D6" s="9" t="s">
        <v>69</v>
      </c>
      <c r="E6" s="10" t="s">
        <v>70</v>
      </c>
      <c r="F6" s="9" t="s">
        <v>71</v>
      </c>
    </row>
    <row r="7" spans="1:6" ht="42" customHeight="1" x14ac:dyDescent="0.2">
      <c r="A7" s="9" t="s">
        <v>72</v>
      </c>
      <c r="B7" s="10" t="s">
        <v>62</v>
      </c>
      <c r="C7" s="10" t="s">
        <v>73</v>
      </c>
      <c r="D7" s="9" t="s">
        <v>74</v>
      </c>
      <c r="E7" s="10" t="s">
        <v>75</v>
      </c>
      <c r="F7" s="9" t="s">
        <v>66</v>
      </c>
    </row>
    <row r="8" spans="1:6" ht="42" customHeight="1" x14ac:dyDescent="0.2">
      <c r="A8" s="9" t="s">
        <v>76</v>
      </c>
      <c r="B8" s="10" t="s">
        <v>62</v>
      </c>
      <c r="C8" s="10" t="s">
        <v>77</v>
      </c>
      <c r="D8" s="9" t="s">
        <v>78</v>
      </c>
      <c r="E8" s="10" t="s">
        <v>79</v>
      </c>
      <c r="F8" s="9" t="s">
        <v>66</v>
      </c>
    </row>
    <row r="9" spans="1:6" ht="42" customHeight="1" x14ac:dyDescent="0.2">
      <c r="A9" s="9" t="s">
        <v>80</v>
      </c>
      <c r="B9" s="10" t="s">
        <v>62</v>
      </c>
      <c r="C9" s="10" t="s">
        <v>81</v>
      </c>
      <c r="D9" s="9" t="s">
        <v>82</v>
      </c>
      <c r="E9" s="10" t="s">
        <v>83</v>
      </c>
      <c r="F9" s="9" t="s">
        <v>66</v>
      </c>
    </row>
    <row r="10" spans="1:6" ht="42" customHeight="1" x14ac:dyDescent="0.2">
      <c r="A10" s="9" t="s">
        <v>84</v>
      </c>
      <c r="B10" s="10" t="s">
        <v>62</v>
      </c>
      <c r="C10" s="10" t="s">
        <v>85</v>
      </c>
      <c r="D10" s="9" t="s">
        <v>86</v>
      </c>
      <c r="E10" s="10" t="s">
        <v>87</v>
      </c>
      <c r="F10" s="9" t="s">
        <v>66</v>
      </c>
    </row>
    <row r="11" spans="1:6" ht="42" customHeight="1" x14ac:dyDescent="0.2">
      <c r="A11" s="9" t="s">
        <v>88</v>
      </c>
      <c r="B11" s="10" t="s">
        <v>62</v>
      </c>
      <c r="C11" s="10" t="s">
        <v>89</v>
      </c>
      <c r="D11" s="9" t="s">
        <v>90</v>
      </c>
      <c r="E11" s="10" t="s">
        <v>91</v>
      </c>
      <c r="F11" s="9" t="s">
        <v>66</v>
      </c>
    </row>
    <row r="12" spans="1:6" ht="42" customHeight="1" x14ac:dyDescent="0.2">
      <c r="A12" s="9" t="s">
        <v>92</v>
      </c>
      <c r="B12" s="10" t="s">
        <v>62</v>
      </c>
      <c r="C12" s="10" t="s">
        <v>93</v>
      </c>
      <c r="D12" s="9" t="s">
        <v>94</v>
      </c>
      <c r="E12" s="10" t="s">
        <v>95</v>
      </c>
      <c r="F12" s="9" t="s">
        <v>66</v>
      </c>
    </row>
    <row r="13" spans="1:6" ht="42" customHeight="1" x14ac:dyDescent="0.2">
      <c r="A13" s="9" t="s">
        <v>96</v>
      </c>
      <c r="B13" s="10" t="s">
        <v>62</v>
      </c>
      <c r="C13" s="10" t="s">
        <v>97</v>
      </c>
      <c r="D13" s="9" t="s">
        <v>98</v>
      </c>
      <c r="E13" s="10" t="s">
        <v>99</v>
      </c>
      <c r="F13" s="9" t="s">
        <v>66</v>
      </c>
    </row>
    <row r="14" spans="1:6" ht="42" customHeight="1" x14ac:dyDescent="0.2">
      <c r="A14" s="9" t="s">
        <v>100</v>
      </c>
      <c r="B14" s="10" t="s">
        <v>62</v>
      </c>
      <c r="C14" s="10" t="s">
        <v>101</v>
      </c>
      <c r="D14" s="9" t="s">
        <v>102</v>
      </c>
      <c r="E14" s="10" t="s">
        <v>103</v>
      </c>
      <c r="F14" s="9" t="s">
        <v>66</v>
      </c>
    </row>
    <row r="15" spans="1:6" ht="42" customHeight="1" x14ac:dyDescent="0.2">
      <c r="A15" s="9" t="s">
        <v>104</v>
      </c>
      <c r="B15" s="10" t="s">
        <v>62</v>
      </c>
      <c r="C15" s="10" t="s">
        <v>105</v>
      </c>
      <c r="D15" s="9" t="s">
        <v>106</v>
      </c>
      <c r="E15" s="10" t="s">
        <v>107</v>
      </c>
      <c r="F15" s="9" t="s">
        <v>66</v>
      </c>
    </row>
    <row r="16" spans="1:6" ht="42" customHeight="1" x14ac:dyDescent="0.2">
      <c r="A16" s="9" t="s">
        <v>108</v>
      </c>
      <c r="B16" s="10" t="s">
        <v>62</v>
      </c>
      <c r="C16" s="10" t="s">
        <v>109</v>
      </c>
      <c r="D16" s="9" t="s">
        <v>110</v>
      </c>
      <c r="E16" s="10" t="s">
        <v>111</v>
      </c>
      <c r="F16" s="9" t="s">
        <v>66</v>
      </c>
    </row>
    <row r="17" spans="1:6" ht="42" customHeight="1" x14ac:dyDescent="0.2">
      <c r="A17" s="9" t="s">
        <v>112</v>
      </c>
      <c r="B17" s="10" t="s">
        <v>62</v>
      </c>
      <c r="C17" s="10" t="s">
        <v>113</v>
      </c>
      <c r="D17" s="11" t="s">
        <v>114</v>
      </c>
      <c r="E17" s="10" t="s">
        <v>115</v>
      </c>
      <c r="F17" s="11" t="s">
        <v>116</v>
      </c>
    </row>
    <row r="18" spans="1:6" ht="42" customHeight="1" x14ac:dyDescent="0.2">
      <c r="A18" s="9" t="s">
        <v>117</v>
      </c>
      <c r="B18" s="10" t="s">
        <v>118</v>
      </c>
      <c r="C18" s="10" t="s">
        <v>119</v>
      </c>
      <c r="D18" s="9" t="s">
        <v>120</v>
      </c>
      <c r="E18" s="10" t="s">
        <v>121</v>
      </c>
      <c r="F18" s="9" t="s">
        <v>66</v>
      </c>
    </row>
    <row r="19" spans="1:6" ht="42" customHeight="1" x14ac:dyDescent="0.2">
      <c r="A19" s="9" t="s">
        <v>122</v>
      </c>
      <c r="B19" s="10" t="s">
        <v>118</v>
      </c>
      <c r="C19" s="10" t="s">
        <v>123</v>
      </c>
      <c r="D19" s="9" t="s">
        <v>124</v>
      </c>
      <c r="E19" s="10" t="s">
        <v>125</v>
      </c>
      <c r="F19" s="9" t="s">
        <v>66</v>
      </c>
    </row>
    <row r="20" spans="1:6" ht="42" customHeight="1" x14ac:dyDescent="0.2">
      <c r="A20" s="9" t="s">
        <v>126</v>
      </c>
      <c r="B20" s="10" t="s">
        <v>118</v>
      </c>
      <c r="C20" s="10" t="s">
        <v>127</v>
      </c>
      <c r="D20" s="9" t="s">
        <v>128</v>
      </c>
      <c r="E20" s="10" t="s">
        <v>129</v>
      </c>
      <c r="F20" s="9" t="s">
        <v>66</v>
      </c>
    </row>
    <row r="21" spans="1:6" ht="42" customHeight="1" x14ac:dyDescent="0.2">
      <c r="A21" s="9" t="s">
        <v>130</v>
      </c>
      <c r="B21" s="10" t="s">
        <v>118</v>
      </c>
      <c r="C21" s="10" t="s">
        <v>131</v>
      </c>
      <c r="D21" s="9" t="s">
        <v>132</v>
      </c>
      <c r="E21" s="10" t="s">
        <v>133</v>
      </c>
      <c r="F21" s="9" t="s">
        <v>66</v>
      </c>
    </row>
    <row r="22" spans="1:6" ht="42" customHeight="1" x14ac:dyDescent="0.2">
      <c r="A22" s="9" t="s">
        <v>134</v>
      </c>
      <c r="B22" s="10" t="s">
        <v>118</v>
      </c>
      <c r="C22" s="10" t="s">
        <v>135</v>
      </c>
      <c r="D22" s="11" t="s">
        <v>136</v>
      </c>
      <c r="E22" s="10" t="s">
        <v>137</v>
      </c>
      <c r="F22" s="11" t="s">
        <v>138</v>
      </c>
    </row>
    <row r="23" spans="1:6" ht="45.75" customHeight="1" x14ac:dyDescent="0.2">
      <c r="A23" s="9" t="s">
        <v>139</v>
      </c>
      <c r="B23" s="10" t="s">
        <v>118</v>
      </c>
      <c r="C23" s="10" t="s">
        <v>140</v>
      </c>
      <c r="D23" s="9" t="s">
        <v>141</v>
      </c>
      <c r="E23" s="10" t="s">
        <v>142</v>
      </c>
      <c r="F23" s="9" t="s">
        <v>66</v>
      </c>
    </row>
    <row r="24" spans="1:6" ht="45.75" customHeight="1" x14ac:dyDescent="0.2">
      <c r="A24" s="9" t="s">
        <v>143</v>
      </c>
      <c r="B24" s="10" t="s">
        <v>118</v>
      </c>
      <c r="C24" s="10" t="s">
        <v>144</v>
      </c>
      <c r="D24" s="9" t="s">
        <v>145</v>
      </c>
      <c r="E24" s="10" t="s">
        <v>146</v>
      </c>
      <c r="F24" s="9" t="s">
        <v>66</v>
      </c>
    </row>
    <row r="25" spans="1:6" ht="45.75" customHeight="1" x14ac:dyDescent="0.2">
      <c r="A25" s="9" t="s">
        <v>147</v>
      </c>
      <c r="B25" s="10" t="s">
        <v>118</v>
      </c>
      <c r="C25" s="10" t="s">
        <v>148</v>
      </c>
      <c r="D25" s="9" t="s">
        <v>149</v>
      </c>
      <c r="E25" s="10" t="s">
        <v>150</v>
      </c>
      <c r="F25" s="9" t="s">
        <v>66</v>
      </c>
    </row>
    <row r="26" spans="1:6" ht="45.75" customHeight="1" x14ac:dyDescent="0.2">
      <c r="A26" s="9" t="s">
        <v>151</v>
      </c>
      <c r="B26" s="10" t="s">
        <v>118</v>
      </c>
      <c r="C26" s="10" t="s">
        <v>152</v>
      </c>
      <c r="D26" s="9" t="s">
        <v>153</v>
      </c>
      <c r="E26" s="10" t="s">
        <v>154</v>
      </c>
      <c r="F26" s="9" t="s">
        <v>66</v>
      </c>
    </row>
    <row r="27" spans="1:6" ht="45.75" customHeight="1" x14ac:dyDescent="0.2">
      <c r="A27" s="9" t="s">
        <v>155</v>
      </c>
      <c r="B27" s="10" t="s">
        <v>118</v>
      </c>
      <c r="C27" s="10" t="s">
        <v>156</v>
      </c>
      <c r="D27" s="9" t="s">
        <v>157</v>
      </c>
      <c r="E27" s="10" t="s">
        <v>158</v>
      </c>
      <c r="F27" s="9" t="s">
        <v>66</v>
      </c>
    </row>
    <row r="28" spans="1:6" ht="45.75" customHeight="1" x14ac:dyDescent="0.2">
      <c r="A28" s="9" t="s">
        <v>159</v>
      </c>
      <c r="B28" s="10" t="s">
        <v>118</v>
      </c>
      <c r="C28" s="10" t="s">
        <v>160</v>
      </c>
      <c r="D28" s="9" t="s">
        <v>161</v>
      </c>
      <c r="E28" s="10" t="s">
        <v>162</v>
      </c>
      <c r="F28" s="9" t="s">
        <v>66</v>
      </c>
    </row>
    <row r="29" spans="1:6" ht="45.75" customHeight="1" x14ac:dyDescent="0.2">
      <c r="A29" s="9" t="s">
        <v>163</v>
      </c>
      <c r="B29" s="10" t="s">
        <v>118</v>
      </c>
      <c r="C29" s="10" t="s">
        <v>164</v>
      </c>
      <c r="D29" s="9" t="s">
        <v>165</v>
      </c>
      <c r="E29" s="10" t="s">
        <v>166</v>
      </c>
      <c r="F29" s="9" t="s">
        <v>66</v>
      </c>
    </row>
    <row r="30" spans="1:6" ht="45.75" customHeight="1" x14ac:dyDescent="0.2">
      <c r="A30" s="9" t="s">
        <v>167</v>
      </c>
      <c r="B30" s="10" t="s">
        <v>118</v>
      </c>
      <c r="C30" s="10" t="s">
        <v>168</v>
      </c>
      <c r="D30" s="9" t="s">
        <v>169</v>
      </c>
      <c r="E30" s="10" t="s">
        <v>170</v>
      </c>
      <c r="F30" s="9" t="s">
        <v>66</v>
      </c>
    </row>
    <row r="31" spans="1:6" ht="45.75" customHeight="1" x14ac:dyDescent="0.2">
      <c r="A31" s="9" t="s">
        <v>171</v>
      </c>
      <c r="B31" s="12" t="s">
        <v>118</v>
      </c>
      <c r="C31" s="12" t="s">
        <v>172</v>
      </c>
      <c r="D31" s="9" t="s">
        <v>173</v>
      </c>
      <c r="E31" s="12" t="s">
        <v>174</v>
      </c>
      <c r="F31" s="9" t="s">
        <v>66</v>
      </c>
    </row>
    <row r="32" spans="1:6" ht="45.75" customHeight="1" x14ac:dyDescent="0.2">
      <c r="A32" s="9" t="s">
        <v>175</v>
      </c>
      <c r="B32" s="12" t="s">
        <v>118</v>
      </c>
      <c r="C32" s="12" t="s">
        <v>176</v>
      </c>
      <c r="D32" s="9" t="s">
        <v>177</v>
      </c>
      <c r="E32" s="12" t="s">
        <v>178</v>
      </c>
      <c r="F32" s="9" t="s">
        <v>66</v>
      </c>
    </row>
    <row r="33" spans="1:6" ht="45.75" customHeight="1" x14ac:dyDescent="0.2">
      <c r="A33" s="9" t="s">
        <v>179</v>
      </c>
      <c r="B33" s="12" t="s">
        <v>118</v>
      </c>
      <c r="C33" s="12" t="s">
        <v>180</v>
      </c>
      <c r="D33" s="9" t="s">
        <v>181</v>
      </c>
      <c r="E33" s="12" t="s">
        <v>182</v>
      </c>
      <c r="F33" s="9" t="s">
        <v>66</v>
      </c>
    </row>
    <row r="34" spans="1:6" ht="45.75" customHeight="1" x14ac:dyDescent="0.2">
      <c r="A34" s="9" t="s">
        <v>183</v>
      </c>
      <c r="B34" s="12" t="s">
        <v>118</v>
      </c>
      <c r="C34" s="12" t="s">
        <v>184</v>
      </c>
      <c r="D34" s="9" t="s">
        <v>185</v>
      </c>
      <c r="E34" s="12" t="s">
        <v>186</v>
      </c>
      <c r="F34" s="9" t="s">
        <v>66</v>
      </c>
    </row>
    <row r="35" spans="1:6" ht="45.75" customHeight="1" x14ac:dyDescent="0.2">
      <c r="A35" s="9" t="s">
        <v>187</v>
      </c>
      <c r="B35" s="12" t="s">
        <v>118</v>
      </c>
      <c r="C35" s="12" t="s">
        <v>188</v>
      </c>
      <c r="D35" s="9" t="s">
        <v>189</v>
      </c>
      <c r="E35" s="12" t="s">
        <v>190</v>
      </c>
      <c r="F35" s="9" t="s">
        <v>66</v>
      </c>
    </row>
    <row r="36" spans="1:6" ht="45.75" customHeight="1" x14ac:dyDescent="0.2">
      <c r="A36" s="9" t="s">
        <v>191</v>
      </c>
      <c r="B36" s="12" t="s">
        <v>118</v>
      </c>
      <c r="C36" s="12" t="s">
        <v>192</v>
      </c>
      <c r="D36" s="9" t="s">
        <v>193</v>
      </c>
      <c r="E36" s="12" t="s">
        <v>194</v>
      </c>
      <c r="F36" s="9" t="s">
        <v>66</v>
      </c>
    </row>
    <row r="37" spans="1:6" ht="48" customHeight="1" x14ac:dyDescent="0.2">
      <c r="A37" s="9" t="s">
        <v>195</v>
      </c>
      <c r="B37" s="12" t="s">
        <v>118</v>
      </c>
      <c r="C37" s="12" t="s">
        <v>196</v>
      </c>
      <c r="D37" s="9" t="s">
        <v>197</v>
      </c>
      <c r="E37" s="12" t="s">
        <v>198</v>
      </c>
      <c r="F37" s="9" t="s">
        <v>66</v>
      </c>
    </row>
    <row r="38" spans="1:6" ht="48" customHeight="1" x14ac:dyDescent="0.2">
      <c r="A38" s="9" t="s">
        <v>199</v>
      </c>
      <c r="B38" s="12" t="s">
        <v>118</v>
      </c>
      <c r="C38" s="12" t="s">
        <v>200</v>
      </c>
      <c r="D38" s="9" t="s">
        <v>201</v>
      </c>
      <c r="E38" s="12" t="s">
        <v>202</v>
      </c>
      <c r="F38" s="9" t="s">
        <v>66</v>
      </c>
    </row>
    <row r="39" spans="1:6" ht="48" customHeight="1" x14ac:dyDescent="0.2">
      <c r="A39" s="9" t="s">
        <v>203</v>
      </c>
      <c r="B39" s="12" t="s">
        <v>118</v>
      </c>
      <c r="C39" s="12" t="s">
        <v>204</v>
      </c>
      <c r="D39" s="9" t="s">
        <v>205</v>
      </c>
      <c r="E39" s="12" t="s">
        <v>206</v>
      </c>
      <c r="F39" s="9" t="s">
        <v>66</v>
      </c>
    </row>
    <row r="40" spans="1:6" ht="48" customHeight="1" x14ac:dyDescent="0.2">
      <c r="A40" s="9" t="s">
        <v>207</v>
      </c>
      <c r="B40" s="12" t="s">
        <v>118</v>
      </c>
      <c r="C40" s="12" t="s">
        <v>208</v>
      </c>
      <c r="D40" s="9" t="s">
        <v>209</v>
      </c>
      <c r="E40" s="12" t="s">
        <v>210</v>
      </c>
      <c r="F40" s="9" t="s">
        <v>66</v>
      </c>
    </row>
    <row r="41" spans="1:6" ht="48" customHeight="1" x14ac:dyDescent="0.2">
      <c r="A41" s="9" t="s">
        <v>211</v>
      </c>
      <c r="B41" s="12" t="s">
        <v>118</v>
      </c>
      <c r="C41" s="12" t="s">
        <v>212</v>
      </c>
      <c r="D41" s="9" t="s">
        <v>213</v>
      </c>
      <c r="E41" s="12" t="s">
        <v>214</v>
      </c>
      <c r="F41" s="9" t="s">
        <v>66</v>
      </c>
    </row>
    <row r="42" spans="1:6" ht="48" customHeight="1" x14ac:dyDescent="0.2">
      <c r="A42" s="9" t="s">
        <v>215</v>
      </c>
      <c r="B42" s="12" t="s">
        <v>118</v>
      </c>
      <c r="C42" s="12" t="s">
        <v>216</v>
      </c>
      <c r="D42" s="9" t="s">
        <v>217</v>
      </c>
      <c r="E42" s="12" t="s">
        <v>218</v>
      </c>
      <c r="F42" s="9" t="s">
        <v>219</v>
      </c>
    </row>
    <row r="43" spans="1:6" ht="48" customHeight="1" x14ac:dyDescent="0.2">
      <c r="A43" s="9" t="s">
        <v>220</v>
      </c>
      <c r="B43" s="12" t="s">
        <v>118</v>
      </c>
      <c r="C43" s="12" t="s">
        <v>221</v>
      </c>
      <c r="D43" s="9" t="s">
        <v>222</v>
      </c>
      <c r="E43" s="12" t="s">
        <v>223</v>
      </c>
      <c r="F43" s="9" t="s">
        <v>66</v>
      </c>
    </row>
    <row r="44" spans="1:6" ht="48" customHeight="1" x14ac:dyDescent="0.2">
      <c r="A44" s="9" t="s">
        <v>224</v>
      </c>
      <c r="B44" s="12" t="s">
        <v>118</v>
      </c>
      <c r="C44" s="12" t="s">
        <v>225</v>
      </c>
      <c r="D44" s="9" t="s">
        <v>226</v>
      </c>
      <c r="E44" s="12" t="s">
        <v>227</v>
      </c>
      <c r="F44" s="9" t="s">
        <v>66</v>
      </c>
    </row>
    <row r="45" spans="1:6" ht="48" customHeight="1" x14ac:dyDescent="0.2">
      <c r="A45" s="9" t="s">
        <v>228</v>
      </c>
      <c r="B45" s="12" t="s">
        <v>118</v>
      </c>
      <c r="C45" s="12" t="s">
        <v>229</v>
      </c>
      <c r="D45" s="9" t="s">
        <v>230</v>
      </c>
      <c r="E45" s="12" t="s">
        <v>231</v>
      </c>
      <c r="F45" s="9" t="s">
        <v>66</v>
      </c>
    </row>
    <row r="46" spans="1:6" ht="48" customHeight="1" x14ac:dyDescent="0.2">
      <c r="A46" s="9" t="s">
        <v>232</v>
      </c>
      <c r="B46" s="12" t="s">
        <v>118</v>
      </c>
      <c r="C46" s="12" t="s">
        <v>233</v>
      </c>
      <c r="D46" s="9" t="s">
        <v>234</v>
      </c>
      <c r="E46" s="12" t="s">
        <v>235</v>
      </c>
      <c r="F46" s="9" t="s">
        <v>236</v>
      </c>
    </row>
    <row r="47" spans="1:6" ht="48" customHeight="1" x14ac:dyDescent="0.2">
      <c r="A47" s="9" t="s">
        <v>237</v>
      </c>
      <c r="B47" s="12" t="s">
        <v>118</v>
      </c>
      <c r="C47" s="12" t="s">
        <v>238</v>
      </c>
      <c r="D47" s="9" t="s">
        <v>239</v>
      </c>
      <c r="E47" s="12" t="s">
        <v>240</v>
      </c>
      <c r="F47" s="9" t="s">
        <v>236</v>
      </c>
    </row>
    <row r="48" spans="1:6" ht="48" customHeight="1" x14ac:dyDescent="0.2">
      <c r="A48" s="9" t="s">
        <v>241</v>
      </c>
      <c r="B48" s="12" t="s">
        <v>118</v>
      </c>
      <c r="C48" s="12" t="s">
        <v>242</v>
      </c>
      <c r="D48" s="9" t="s">
        <v>243</v>
      </c>
      <c r="E48" s="12" t="s">
        <v>244</v>
      </c>
      <c r="F48" s="9" t="s">
        <v>236</v>
      </c>
    </row>
    <row r="49" spans="1:6" ht="48" customHeight="1" x14ac:dyDescent="0.2">
      <c r="A49" s="9" t="s">
        <v>245</v>
      </c>
      <c r="B49" s="12" t="s">
        <v>118</v>
      </c>
      <c r="C49" s="12" t="s">
        <v>188</v>
      </c>
      <c r="D49" s="9" t="s">
        <v>246</v>
      </c>
      <c r="E49" s="12" t="s">
        <v>247</v>
      </c>
      <c r="F49" s="9" t="s">
        <v>66</v>
      </c>
    </row>
    <row r="50" spans="1:6" ht="48" customHeight="1" x14ac:dyDescent="0.2">
      <c r="A50" s="9" t="s">
        <v>248</v>
      </c>
      <c r="B50" s="12" t="s">
        <v>118</v>
      </c>
      <c r="C50" s="12" t="s">
        <v>249</v>
      </c>
      <c r="D50" s="9" t="s">
        <v>250</v>
      </c>
      <c r="E50" s="12" t="s">
        <v>251</v>
      </c>
      <c r="F50" s="9" t="s">
        <v>66</v>
      </c>
    </row>
    <row r="51" spans="1:6" ht="48" customHeight="1" x14ac:dyDescent="0.2">
      <c r="A51" s="9" t="s">
        <v>252</v>
      </c>
      <c r="B51" s="12" t="s">
        <v>118</v>
      </c>
      <c r="C51" s="12" t="s">
        <v>253</v>
      </c>
      <c r="D51" s="9" t="s">
        <v>254</v>
      </c>
      <c r="E51" s="12" t="s">
        <v>255</v>
      </c>
      <c r="F51" s="9" t="s">
        <v>236</v>
      </c>
    </row>
    <row r="52" spans="1:6" ht="48" customHeight="1" x14ac:dyDescent="0.2">
      <c r="A52" s="9" t="s">
        <v>256</v>
      </c>
      <c r="B52" s="12" t="s">
        <v>118</v>
      </c>
      <c r="C52" s="12" t="s">
        <v>257</v>
      </c>
      <c r="D52" s="9" t="s">
        <v>258</v>
      </c>
      <c r="E52" s="12" t="s">
        <v>259</v>
      </c>
      <c r="F52" s="9" t="s">
        <v>66</v>
      </c>
    </row>
    <row r="53" spans="1:6" ht="48" customHeight="1" x14ac:dyDescent="0.2">
      <c r="A53" s="9" t="s">
        <v>260</v>
      </c>
      <c r="B53" s="12" t="s">
        <v>118</v>
      </c>
      <c r="C53" s="12" t="s">
        <v>261</v>
      </c>
      <c r="D53" s="9" t="s">
        <v>262</v>
      </c>
      <c r="E53" s="12" t="s">
        <v>263</v>
      </c>
      <c r="F53" s="9" t="s">
        <v>66</v>
      </c>
    </row>
    <row r="54" spans="1:6" ht="51.75" customHeight="1" x14ac:dyDescent="0.2">
      <c r="A54" s="9" t="s">
        <v>264</v>
      </c>
      <c r="B54" s="12" t="s">
        <v>265</v>
      </c>
      <c r="C54" s="12" t="s">
        <v>266</v>
      </c>
      <c r="D54" s="9" t="s">
        <v>267</v>
      </c>
      <c r="E54" s="12" t="s">
        <v>268</v>
      </c>
      <c r="F54" s="9" t="s">
        <v>66</v>
      </c>
    </row>
    <row r="55" spans="1:6" ht="51.75" customHeight="1" x14ac:dyDescent="0.2">
      <c r="A55" s="9" t="s">
        <v>269</v>
      </c>
      <c r="B55" s="12" t="s">
        <v>265</v>
      </c>
      <c r="C55" s="12" t="s">
        <v>270</v>
      </c>
      <c r="D55" s="11" t="s">
        <v>271</v>
      </c>
      <c r="E55" s="12" t="s">
        <v>272</v>
      </c>
      <c r="F55" s="11" t="s">
        <v>273</v>
      </c>
    </row>
    <row r="56" spans="1:6" ht="51.75" customHeight="1" x14ac:dyDescent="0.2">
      <c r="A56" s="9" t="s">
        <v>274</v>
      </c>
      <c r="B56" s="12" t="s">
        <v>265</v>
      </c>
      <c r="C56" s="12" t="s">
        <v>275</v>
      </c>
      <c r="D56" s="9" t="s">
        <v>276</v>
      </c>
      <c r="E56" s="12" t="s">
        <v>277</v>
      </c>
      <c r="F56" s="9" t="s">
        <v>66</v>
      </c>
    </row>
    <row r="57" spans="1:6" ht="51.75" customHeight="1" x14ac:dyDescent="0.2">
      <c r="A57" s="9" t="s">
        <v>278</v>
      </c>
      <c r="B57" s="12" t="s">
        <v>265</v>
      </c>
      <c r="C57" s="12" t="s">
        <v>279</v>
      </c>
      <c r="D57" s="9" t="s">
        <v>280</v>
      </c>
      <c r="E57" s="12" t="s">
        <v>281</v>
      </c>
      <c r="F57" s="9" t="s">
        <v>66</v>
      </c>
    </row>
    <row r="58" spans="1:6" ht="51.75" customHeight="1" x14ac:dyDescent="0.2">
      <c r="A58" s="9" t="s">
        <v>282</v>
      </c>
      <c r="B58" s="12" t="s">
        <v>265</v>
      </c>
      <c r="C58" s="12" t="s">
        <v>283</v>
      </c>
      <c r="D58" s="9" t="s">
        <v>284</v>
      </c>
      <c r="E58" s="12" t="s">
        <v>285</v>
      </c>
      <c r="F58" s="9" t="s">
        <v>66</v>
      </c>
    </row>
    <row r="59" spans="1:6" ht="51.75" customHeight="1" x14ac:dyDescent="0.2">
      <c r="A59" s="9" t="s">
        <v>286</v>
      </c>
      <c r="B59" s="12" t="s">
        <v>265</v>
      </c>
      <c r="C59" s="12" t="s">
        <v>287</v>
      </c>
      <c r="D59" s="9" t="s">
        <v>288</v>
      </c>
      <c r="E59" s="12" t="s">
        <v>289</v>
      </c>
      <c r="F59" s="9" t="s">
        <v>66</v>
      </c>
    </row>
    <row r="60" spans="1:6" ht="51.75" customHeight="1" x14ac:dyDescent="0.2">
      <c r="A60" s="9" t="s">
        <v>290</v>
      </c>
      <c r="B60" s="12" t="s">
        <v>265</v>
      </c>
      <c r="C60" s="12" t="s">
        <v>291</v>
      </c>
      <c r="D60" s="11" t="s">
        <v>292</v>
      </c>
      <c r="E60" s="12" t="s">
        <v>293</v>
      </c>
      <c r="F60" s="11" t="s">
        <v>294</v>
      </c>
    </row>
    <row r="61" spans="1:6" ht="49.5" customHeight="1" x14ac:dyDescent="0.2">
      <c r="A61" s="9" t="s">
        <v>295</v>
      </c>
      <c r="B61" s="12" t="s">
        <v>265</v>
      </c>
      <c r="C61" s="12" t="s">
        <v>296</v>
      </c>
      <c r="D61" s="9" t="s">
        <v>297</v>
      </c>
      <c r="E61" s="12" t="s">
        <v>298</v>
      </c>
      <c r="F61" s="9" t="s">
        <v>236</v>
      </c>
    </row>
    <row r="62" spans="1:6" ht="49.5" customHeight="1" x14ac:dyDescent="0.2">
      <c r="A62" s="9" t="s">
        <v>299</v>
      </c>
      <c r="B62" s="12" t="s">
        <v>265</v>
      </c>
      <c r="C62" s="12" t="s">
        <v>300</v>
      </c>
      <c r="D62" s="9" t="s">
        <v>301</v>
      </c>
      <c r="E62" s="12" t="s">
        <v>302</v>
      </c>
      <c r="F62" s="9" t="s">
        <v>66</v>
      </c>
    </row>
    <row r="63" spans="1:6" ht="49.5" customHeight="1" x14ac:dyDescent="0.2">
      <c r="A63" s="9" t="s">
        <v>303</v>
      </c>
      <c r="B63" s="12" t="s">
        <v>265</v>
      </c>
      <c r="C63" s="12" t="s">
        <v>304</v>
      </c>
      <c r="D63" s="9" t="s">
        <v>305</v>
      </c>
      <c r="E63" s="12" t="s">
        <v>306</v>
      </c>
      <c r="F63" s="9" t="s">
        <v>236</v>
      </c>
    </row>
    <row r="64" spans="1:6" ht="49.5" customHeight="1" x14ac:dyDescent="0.2">
      <c r="A64" s="9" t="s">
        <v>307</v>
      </c>
      <c r="B64" s="12" t="s">
        <v>265</v>
      </c>
      <c r="C64" s="12" t="s">
        <v>308</v>
      </c>
      <c r="D64" s="9" t="s">
        <v>309</v>
      </c>
      <c r="E64" s="12" t="s">
        <v>310</v>
      </c>
      <c r="F64" s="9" t="s">
        <v>236</v>
      </c>
    </row>
    <row r="65" spans="1:6" ht="49.5" customHeight="1" x14ac:dyDescent="0.2">
      <c r="A65" s="9" t="s">
        <v>311</v>
      </c>
      <c r="B65" s="12" t="s">
        <v>265</v>
      </c>
      <c r="C65" s="12" t="s">
        <v>312</v>
      </c>
      <c r="D65" s="9" t="s">
        <v>313</v>
      </c>
      <c r="E65" s="12" t="s">
        <v>314</v>
      </c>
      <c r="F65" s="9" t="s">
        <v>236</v>
      </c>
    </row>
    <row r="66" spans="1:6" ht="49.5" customHeight="1" x14ac:dyDescent="0.2">
      <c r="A66" s="9" t="s">
        <v>315</v>
      </c>
      <c r="B66" s="12" t="s">
        <v>265</v>
      </c>
      <c r="C66" s="12" t="s">
        <v>316</v>
      </c>
      <c r="D66" s="11" t="s">
        <v>317</v>
      </c>
      <c r="E66" s="12" t="s">
        <v>318</v>
      </c>
      <c r="F66" s="11" t="s">
        <v>66</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6"/>
  <sheetViews>
    <sheetView showGridLines="0" zoomScale="156" zoomScaleNormal="100" workbookViewId="0">
      <selection activeCell="A25" sqref="A25"/>
    </sheetView>
  </sheetViews>
  <sheetFormatPr baseColWidth="10" defaultColWidth="8.6640625" defaultRowHeight="15" x14ac:dyDescent="0.2"/>
  <cols>
    <col min="1" max="1" width="62" customWidth="1"/>
    <col min="2" max="4" width="15" customWidth="1"/>
    <col min="6" max="6" width="44" customWidth="1"/>
  </cols>
  <sheetData>
    <row r="1" spans="1:4" ht="15.75" customHeight="1" x14ac:dyDescent="0.2">
      <c r="A1" s="1" t="s">
        <v>1064</v>
      </c>
    </row>
    <row r="2" spans="1:4" ht="15" customHeight="1" x14ac:dyDescent="0.2">
      <c r="A2" s="2" t="s">
        <v>406</v>
      </c>
    </row>
    <row r="4" spans="1:4" ht="15" customHeight="1" x14ac:dyDescent="0.2">
      <c r="A4" s="8" t="s">
        <v>407</v>
      </c>
      <c r="B4" s="13" t="s">
        <v>408</v>
      </c>
      <c r="C4" s="13" t="s">
        <v>409</v>
      </c>
      <c r="D4" s="13" t="s">
        <v>410</v>
      </c>
    </row>
    <row r="6" spans="1:4" ht="15" customHeight="1" x14ac:dyDescent="0.2">
      <c r="A6" s="14" t="s">
        <v>327</v>
      </c>
      <c r="B6" s="15"/>
      <c r="C6" s="15"/>
      <c r="D6" s="15"/>
    </row>
    <row r="7" spans="1:4" ht="15" customHeight="1" x14ac:dyDescent="0.2">
      <c r="A7" s="4" t="s">
        <v>411</v>
      </c>
      <c r="B7" s="16">
        <v>5430173</v>
      </c>
      <c r="C7" s="16">
        <v>5482472</v>
      </c>
      <c r="D7" s="16">
        <v>5968918</v>
      </c>
    </row>
    <row r="8" spans="1:4" ht="15" customHeight="1" x14ac:dyDescent="0.2">
      <c r="A8" s="4" t="s">
        <v>412</v>
      </c>
      <c r="B8" s="16">
        <v>46888</v>
      </c>
      <c r="C8" s="16">
        <v>72496</v>
      </c>
      <c r="D8" s="16">
        <v>143774</v>
      </c>
    </row>
    <row r="9" spans="1:4" ht="15" customHeight="1" x14ac:dyDescent="0.2">
      <c r="A9" s="3" t="s">
        <v>334</v>
      </c>
      <c r="B9" s="19">
        <f>SUM(B7:B8)</f>
        <v>5477061</v>
      </c>
      <c r="C9" s="19">
        <f>SUM(C7:C8)</f>
        <v>5554968</v>
      </c>
      <c r="D9" s="19">
        <f>SUM(D7:D8)</f>
        <v>6112692</v>
      </c>
    </row>
    <row r="11" spans="1:4" ht="15" customHeight="1" x14ac:dyDescent="0.2">
      <c r="A11" s="4" t="s">
        <v>413</v>
      </c>
      <c r="B11" s="16">
        <v>2381666</v>
      </c>
      <c r="C11" s="16">
        <v>2318337</v>
      </c>
      <c r="D11" s="16">
        <v>2507049</v>
      </c>
    </row>
    <row r="12" spans="1:4" ht="15" customHeight="1" x14ac:dyDescent="0.2">
      <c r="A12" s="4" t="s">
        <v>414</v>
      </c>
      <c r="B12" s="16">
        <v>216405</v>
      </c>
      <c r="C12" s="16">
        <v>200778</v>
      </c>
      <c r="D12" s="16">
        <v>219688</v>
      </c>
    </row>
    <row r="13" spans="1:4" ht="15" customHeight="1" x14ac:dyDescent="0.2">
      <c r="A13" s="4" t="s">
        <v>341</v>
      </c>
      <c r="B13" s="16">
        <v>1694859</v>
      </c>
      <c r="C13" s="16">
        <v>1771797</v>
      </c>
      <c r="D13" s="16">
        <v>1894636</v>
      </c>
    </row>
    <row r="14" spans="1:4" ht="15" customHeight="1" x14ac:dyDescent="0.2">
      <c r="A14" s="4" t="s">
        <v>342</v>
      </c>
      <c r="B14" s="16">
        <v>449056</v>
      </c>
      <c r="C14" s="16">
        <v>480023</v>
      </c>
      <c r="D14" s="16">
        <v>565482</v>
      </c>
    </row>
    <row r="15" spans="1:4" ht="15" customHeight="1" x14ac:dyDescent="0.2">
      <c r="A15" s="4" t="s">
        <v>415</v>
      </c>
      <c r="B15" s="16">
        <v>84722</v>
      </c>
      <c r="C15" s="16">
        <v>93902</v>
      </c>
      <c r="D15" s="16">
        <v>185090</v>
      </c>
    </row>
    <row r="16" spans="1:4" ht="15" customHeight="1" x14ac:dyDescent="0.2">
      <c r="A16" s="4" t="s">
        <v>345</v>
      </c>
      <c r="B16" s="16">
        <v>118363</v>
      </c>
      <c r="C16" s="16">
        <v>191184</v>
      </c>
      <c r="D16" s="16">
        <v>78553</v>
      </c>
    </row>
    <row r="17" spans="1:4" ht="15" customHeight="1" x14ac:dyDescent="0.2">
      <c r="A17" s="4" t="s">
        <v>333</v>
      </c>
      <c r="B17" s="16">
        <v>7529</v>
      </c>
      <c r="C17" s="16">
        <v>27083</v>
      </c>
      <c r="D17" s="16">
        <v>3702</v>
      </c>
    </row>
    <row r="18" spans="1:4" ht="15" customHeight="1" x14ac:dyDescent="0.2">
      <c r="A18" s="3" t="s">
        <v>347</v>
      </c>
      <c r="B18" s="19">
        <f>SUM(B11:B17)</f>
        <v>4952600</v>
      </c>
      <c r="C18" s="19">
        <f>SUM(C11:C17)</f>
        <v>5083104</v>
      </c>
      <c r="D18" s="19">
        <f>SUM(D11:D17)</f>
        <v>5454200</v>
      </c>
    </row>
    <row r="20" spans="1:4" ht="15" customHeight="1" x14ac:dyDescent="0.2">
      <c r="A20" s="3" t="s">
        <v>350</v>
      </c>
      <c r="B20" s="19">
        <f>B9-B18</f>
        <v>524461</v>
      </c>
      <c r="C20" s="19">
        <f>C9-C18</f>
        <v>471864</v>
      </c>
      <c r="D20" s="19">
        <f>D9-D18</f>
        <v>658492</v>
      </c>
    </row>
    <row r="21" spans="1:4" ht="15" customHeight="1" x14ac:dyDescent="0.2">
      <c r="A21" s="4" t="s">
        <v>416</v>
      </c>
      <c r="B21" s="16">
        <v>-29791</v>
      </c>
      <c r="C21" s="16">
        <v>-120138</v>
      </c>
      <c r="D21" s="16">
        <v>-31987</v>
      </c>
    </row>
    <row r="22" spans="1:4" ht="15" customHeight="1" x14ac:dyDescent="0.2">
      <c r="A22" s="4" t="s">
        <v>417</v>
      </c>
      <c r="B22" s="16">
        <v>900531</v>
      </c>
      <c r="C22" s="16">
        <v>595825</v>
      </c>
      <c r="D22" s="16">
        <v>995586</v>
      </c>
    </row>
    <row r="23" spans="1:4" ht="15" customHeight="1" x14ac:dyDescent="0.2">
      <c r="A23" s="4" t="s">
        <v>418</v>
      </c>
      <c r="B23" s="16">
        <v>68431</v>
      </c>
      <c r="C23" s="16">
        <v>154243</v>
      </c>
      <c r="D23" s="16">
        <v>161052</v>
      </c>
    </row>
    <row r="24" spans="1:4" ht="15" customHeight="1" x14ac:dyDescent="0.2">
      <c r="A24" s="4" t="s">
        <v>354</v>
      </c>
      <c r="B24" s="16">
        <v>-437741</v>
      </c>
      <c r="C24" s="16">
        <v>-452836</v>
      </c>
      <c r="D24" s="16">
        <v>-437947</v>
      </c>
    </row>
    <row r="25" spans="1:4" ht="15" customHeight="1" x14ac:dyDescent="0.2">
      <c r="A25" s="4" t="s">
        <v>372</v>
      </c>
      <c r="B25" s="16">
        <v>0</v>
      </c>
      <c r="C25" s="16">
        <v>-5871</v>
      </c>
      <c r="D25" s="16">
        <v>9</v>
      </c>
    </row>
    <row r="26" spans="1:4" ht="15" customHeight="1" x14ac:dyDescent="0.2">
      <c r="A26" s="4" t="s">
        <v>419</v>
      </c>
      <c r="B26" s="16">
        <v>-75579</v>
      </c>
      <c r="C26" s="16">
        <v>-54760</v>
      </c>
      <c r="D26" s="16">
        <v>-32040</v>
      </c>
    </row>
    <row r="27" spans="1:4" ht="15" customHeight="1" x14ac:dyDescent="0.2">
      <c r="A27" s="3" t="s">
        <v>357</v>
      </c>
      <c r="B27" s="19">
        <f>B20+SUM(B21:B26)</f>
        <v>950312</v>
      </c>
      <c r="C27" s="19">
        <f>C20+SUM(C21:C26)</f>
        <v>588327</v>
      </c>
      <c r="D27" s="19">
        <f>D20+SUM(D21:D26)</f>
        <v>1313165</v>
      </c>
    </row>
    <row r="28" spans="1:4" ht="15" customHeight="1" x14ac:dyDescent="0.2">
      <c r="A28" s="4" t="s">
        <v>358</v>
      </c>
      <c r="B28" s="16">
        <v>-1474</v>
      </c>
      <c r="C28" s="16">
        <v>14163</v>
      </c>
      <c r="D28" s="16">
        <v>-4576</v>
      </c>
    </row>
    <row r="29" spans="1:4" ht="15" customHeight="1" x14ac:dyDescent="0.2">
      <c r="A29" s="4" t="s">
        <v>359</v>
      </c>
      <c r="B29" s="16">
        <v>-40724</v>
      </c>
      <c r="C29" s="16">
        <v>-40724</v>
      </c>
      <c r="D29" s="16">
        <v>-40724</v>
      </c>
    </row>
    <row r="30" spans="1:4" ht="15" customHeight="1" x14ac:dyDescent="0.2">
      <c r="A30" s="3" t="s">
        <v>360</v>
      </c>
      <c r="B30" s="19">
        <f>B27+B28+B29</f>
        <v>908114</v>
      </c>
      <c r="C30" s="19">
        <f>C27+C28+C29</f>
        <v>561766</v>
      </c>
      <c r="D30" s="19">
        <f>D27+D28+D29</f>
        <v>1267865</v>
      </c>
    </row>
    <row r="31" spans="1:4" ht="15" hidden="1" customHeight="1" x14ac:dyDescent="0.2">
      <c r="A31" s="4" t="s">
        <v>1065</v>
      </c>
      <c r="B31" s="16">
        <v>908114</v>
      </c>
      <c r="C31" s="16">
        <v>561766</v>
      </c>
      <c r="D31" s="16">
        <v>1267865</v>
      </c>
    </row>
    <row r="32" spans="1:4" ht="15" hidden="1" customHeight="1" x14ac:dyDescent="0.2">
      <c r="A32" s="4" t="s">
        <v>361</v>
      </c>
      <c r="B32" s="20">
        <f>B30-B31</f>
        <v>0</v>
      </c>
      <c r="C32" s="20">
        <f>C30-C31</f>
        <v>0</v>
      </c>
      <c r="D32" s="20">
        <f>D30-D31</f>
        <v>0</v>
      </c>
    </row>
    <row r="34" spans="1:6" ht="15" customHeight="1" x14ac:dyDescent="0.2">
      <c r="A34" s="14" t="s">
        <v>420</v>
      </c>
      <c r="B34" s="15"/>
      <c r="C34" s="15"/>
      <c r="D34" s="15"/>
    </row>
    <row r="35" spans="1:6" ht="15" customHeight="1" x14ac:dyDescent="0.2">
      <c r="A35" s="4" t="s">
        <v>360</v>
      </c>
      <c r="B35" s="21">
        <f>B30</f>
        <v>908114</v>
      </c>
      <c r="C35" s="21">
        <f>C30</f>
        <v>561766</v>
      </c>
      <c r="D35" s="21">
        <f>D30</f>
        <v>1267865</v>
      </c>
    </row>
    <row r="36" spans="1:6" ht="15" customHeight="1" x14ac:dyDescent="0.2">
      <c r="A36" s="4" t="s">
        <v>421</v>
      </c>
      <c r="B36" s="16">
        <v>20710</v>
      </c>
      <c r="C36" s="16">
        <v>12700</v>
      </c>
      <c r="D36" s="16">
        <v>28000</v>
      </c>
    </row>
    <row r="37" spans="1:6" ht="15" customHeight="1" x14ac:dyDescent="0.2">
      <c r="A37" s="4" t="s">
        <v>364</v>
      </c>
      <c r="B37" s="16">
        <v>1657240</v>
      </c>
      <c r="C37" s="16">
        <v>1730058</v>
      </c>
      <c r="D37" s="16">
        <v>1855144</v>
      </c>
    </row>
    <row r="38" spans="1:6" ht="15" customHeight="1" x14ac:dyDescent="0.2">
      <c r="A38" s="4" t="s">
        <v>422</v>
      </c>
      <c r="B38" s="16">
        <v>-57477</v>
      </c>
      <c r="C38" s="16">
        <v>-64612</v>
      </c>
      <c r="D38" s="16">
        <v>-86159</v>
      </c>
    </row>
    <row r="39" spans="1:6" ht="15" customHeight="1" x14ac:dyDescent="0.2">
      <c r="A39" s="4" t="s">
        <v>423</v>
      </c>
      <c r="B39" s="16">
        <v>177153</v>
      </c>
      <c r="C39" s="16">
        <v>192931</v>
      </c>
      <c r="D39" s="16">
        <v>251215</v>
      </c>
    </row>
    <row r="40" spans="1:6" ht="15" customHeight="1" x14ac:dyDescent="0.2">
      <c r="A40" s="4" t="s">
        <v>424</v>
      </c>
      <c r="B40" s="16">
        <v>-908356</v>
      </c>
      <c r="C40" s="16">
        <v>-596904</v>
      </c>
      <c r="D40" s="16">
        <v>-995586</v>
      </c>
    </row>
    <row r="41" spans="1:6" ht="15" customHeight="1" x14ac:dyDescent="0.2">
      <c r="A41" s="4" t="s">
        <v>345</v>
      </c>
      <c r="B41" s="16">
        <v>118363</v>
      </c>
      <c r="C41" s="16">
        <v>191185</v>
      </c>
      <c r="D41" s="16">
        <v>78553</v>
      </c>
    </row>
    <row r="42" spans="1:6" ht="15" customHeight="1" x14ac:dyDescent="0.2">
      <c r="A42" s="3" t="s">
        <v>425</v>
      </c>
      <c r="B42" s="19">
        <f>SUM(B35:B41)</f>
        <v>1915747</v>
      </c>
      <c r="C42" s="19">
        <f>SUM(C35:C41)</f>
        <v>2027124</v>
      </c>
      <c r="D42" s="19">
        <f>SUM(D35:D41)</f>
        <v>2399032</v>
      </c>
    </row>
    <row r="43" spans="1:6" ht="15" hidden="1" customHeight="1" x14ac:dyDescent="0.2">
      <c r="A43" s="4" t="s">
        <v>1045</v>
      </c>
      <c r="B43" s="16">
        <v>1915747</v>
      </c>
      <c r="C43" s="16">
        <v>2027124</v>
      </c>
      <c r="D43" s="16">
        <v>2399032</v>
      </c>
    </row>
    <row r="44" spans="1:6" ht="15" hidden="1" customHeight="1" x14ac:dyDescent="0.2">
      <c r="A44" s="4" t="s">
        <v>361</v>
      </c>
      <c r="B44" s="20">
        <f>B42-B43</f>
        <v>0</v>
      </c>
      <c r="C44" s="20">
        <f>C42-C43</f>
        <v>0</v>
      </c>
      <c r="D44" s="20">
        <f>D42-D43</f>
        <v>0</v>
      </c>
    </row>
    <row r="45" spans="1:6" ht="15" customHeight="1" x14ac:dyDescent="0.2">
      <c r="A45" s="4" t="s">
        <v>393</v>
      </c>
      <c r="B45" s="16">
        <v>39386</v>
      </c>
      <c r="C45" s="16">
        <v>46953</v>
      </c>
      <c r="D45" s="16">
        <v>63566</v>
      </c>
      <c r="F45" s="2" t="s">
        <v>94</v>
      </c>
    </row>
    <row r="46" spans="1:6" ht="15" customHeight="1" x14ac:dyDescent="0.2">
      <c r="A46" s="4" t="s">
        <v>1066</v>
      </c>
      <c r="B46" s="22">
        <v>304651</v>
      </c>
      <c r="C46" s="22">
        <v>329485</v>
      </c>
      <c r="D46" s="22">
        <v>345717</v>
      </c>
    </row>
    <row r="47" spans="1:6" ht="15" customHeight="1" x14ac:dyDescent="0.2">
      <c r="A47" s="4" t="s">
        <v>1067</v>
      </c>
      <c r="B47" s="22">
        <v>315113</v>
      </c>
      <c r="C47" s="22">
        <v>337696</v>
      </c>
      <c r="D47" s="22">
        <v>353720</v>
      </c>
    </row>
    <row r="48" spans="1:6" ht="15" customHeight="1" x14ac:dyDescent="0.2">
      <c r="A48" s="3" t="s">
        <v>1058</v>
      </c>
      <c r="B48" s="23">
        <f>(B42+B45)/B47</f>
        <v>6.2045456709180513</v>
      </c>
      <c r="C48" s="23">
        <f>(C42+C45)/C47</f>
        <v>6.1418465128399511</v>
      </c>
      <c r="D48" s="23">
        <f>(D42+D45)/D47</f>
        <v>6.9619981906592789</v>
      </c>
    </row>
    <row r="49" spans="1:6" ht="15" customHeight="1" x14ac:dyDescent="0.2">
      <c r="A49" s="4" t="s">
        <v>426</v>
      </c>
      <c r="B49" s="24">
        <v>4.88</v>
      </c>
      <c r="C49" s="24">
        <v>4.88</v>
      </c>
      <c r="D49" s="24">
        <v>4.88</v>
      </c>
      <c r="F49" s="2" t="s">
        <v>1068</v>
      </c>
    </row>
    <row r="51" spans="1:6" ht="15" customHeight="1" x14ac:dyDescent="0.2">
      <c r="A51" s="14" t="s">
        <v>427</v>
      </c>
      <c r="B51" s="15"/>
      <c r="C51" s="15"/>
      <c r="D51" s="15"/>
    </row>
    <row r="52" spans="1:6" ht="15" customHeight="1" x14ac:dyDescent="0.2">
      <c r="A52" s="4" t="s">
        <v>428</v>
      </c>
      <c r="B52" s="4" t="s">
        <v>429</v>
      </c>
      <c r="C52" s="25">
        <f>C9/B9-1</f>
        <v>1.4224234493645405E-2</v>
      </c>
      <c r="D52" s="25">
        <f>D9/C9-1</f>
        <v>0.1004009384032456</v>
      </c>
    </row>
    <row r="53" spans="1:6" ht="15" customHeight="1" x14ac:dyDescent="0.2">
      <c r="A53" s="4" t="s">
        <v>430</v>
      </c>
      <c r="B53" s="25">
        <f>B13/B9</f>
        <v>0.30944680002651059</v>
      </c>
      <c r="C53" s="25">
        <f>C13/C9</f>
        <v>0.31895719291272245</v>
      </c>
      <c r="D53" s="25">
        <f>D13/D9</f>
        <v>0.30995116390618077</v>
      </c>
      <c r="F53" s="2" t="s">
        <v>1069</v>
      </c>
    </row>
    <row r="54" spans="1:6" ht="15" customHeight="1" x14ac:dyDescent="0.2">
      <c r="A54" s="4" t="s">
        <v>431</v>
      </c>
      <c r="B54" s="25">
        <f>(B11+B12)/B9</f>
        <v>0.47435495058389893</v>
      </c>
      <c r="C54" s="25">
        <f>(C11+C12)/C9</f>
        <v>0.45348866096078322</v>
      </c>
      <c r="D54" s="25">
        <f>(D11+D12)/D9</f>
        <v>0.44607793096723997</v>
      </c>
    </row>
    <row r="55" spans="1:6" ht="15" customHeight="1" x14ac:dyDescent="0.2">
      <c r="A55" s="4" t="s">
        <v>432</v>
      </c>
      <c r="B55" s="25">
        <f>B14/B9</f>
        <v>8.1988497115515049E-2</v>
      </c>
      <c r="C55" s="25">
        <f>C14/C9</f>
        <v>8.6413279068394272E-2</v>
      </c>
      <c r="D55" s="25">
        <f>D14/D9</f>
        <v>9.2509486818573558E-2</v>
      </c>
    </row>
    <row r="56" spans="1:6" ht="15" customHeight="1" x14ac:dyDescent="0.2">
      <c r="A56" s="4" t="s">
        <v>433</v>
      </c>
      <c r="B56" s="25">
        <f>B8/B9</f>
        <v>8.560795652997109E-3</v>
      </c>
      <c r="C56" s="25">
        <f>C8/C9</f>
        <v>1.3050660237826752E-2</v>
      </c>
      <c r="D56" s="25">
        <f>D8/D9</f>
        <v>2.3520569987822058E-2</v>
      </c>
      <c r="F56" s="2" t="s">
        <v>1070</v>
      </c>
    </row>
  </sheetData>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95"/>
  <sheetViews>
    <sheetView showGridLines="0" topLeftCell="A78" zoomScale="150" zoomScaleNormal="100" workbookViewId="0">
      <selection activeCell="B170" sqref="B170"/>
    </sheetView>
  </sheetViews>
  <sheetFormatPr baseColWidth="10" defaultColWidth="8.6640625" defaultRowHeight="15" x14ac:dyDescent="0.2"/>
  <cols>
    <col min="1" max="1" width="69" customWidth="1"/>
    <col min="2" max="14" width="13" customWidth="1"/>
  </cols>
  <sheetData>
    <row r="1" spans="1:14" ht="15.75" customHeight="1" x14ac:dyDescent="0.2">
      <c r="A1" s="1" t="s">
        <v>1071</v>
      </c>
    </row>
    <row r="2" spans="1:14" ht="15" customHeight="1" x14ac:dyDescent="0.2">
      <c r="A2" s="2" t="s">
        <v>434</v>
      </c>
    </row>
    <row r="4" spans="1:14" ht="15" customHeight="1" x14ac:dyDescent="0.2">
      <c r="A4" s="14" t="s">
        <v>1072</v>
      </c>
      <c r="B4" s="15"/>
      <c r="C4" s="15"/>
      <c r="D4" s="15"/>
      <c r="E4" s="15"/>
      <c r="F4" s="15"/>
      <c r="G4" s="15"/>
      <c r="H4" s="15"/>
      <c r="I4" s="15"/>
      <c r="J4" s="15"/>
      <c r="K4" s="15"/>
      <c r="L4" s="15"/>
      <c r="M4" s="15"/>
      <c r="N4" s="15"/>
    </row>
    <row r="5" spans="1:14" ht="30" customHeight="1" x14ac:dyDescent="0.2">
      <c r="A5" s="28" t="s">
        <v>435</v>
      </c>
      <c r="B5" s="28" t="s">
        <v>436</v>
      </c>
      <c r="C5" s="28" t="s">
        <v>437</v>
      </c>
      <c r="D5" s="28" t="s">
        <v>438</v>
      </c>
      <c r="E5" s="28" t="s">
        <v>439</v>
      </c>
      <c r="F5" s="28" t="s">
        <v>440</v>
      </c>
      <c r="G5" s="28" t="s">
        <v>441</v>
      </c>
      <c r="H5" s="28" t="s">
        <v>442</v>
      </c>
      <c r="I5" s="28" t="s">
        <v>443</v>
      </c>
      <c r="J5" s="28" t="s">
        <v>444</v>
      </c>
      <c r="K5" s="28" t="s">
        <v>445</v>
      </c>
      <c r="L5" s="28" t="s">
        <v>446</v>
      </c>
      <c r="M5" s="28" t="s">
        <v>447</v>
      </c>
      <c r="N5" s="28" t="s">
        <v>448</v>
      </c>
    </row>
    <row r="6" spans="1:14" ht="15" customHeight="1" x14ac:dyDescent="0.2">
      <c r="A6" s="4" t="s">
        <v>449</v>
      </c>
      <c r="B6" s="29">
        <v>780</v>
      </c>
      <c r="C6" s="29">
        <v>30</v>
      </c>
      <c r="D6" s="16">
        <v>1785120</v>
      </c>
      <c r="E6" s="16">
        <v>1590669</v>
      </c>
      <c r="F6" s="102">
        <v>422</v>
      </c>
      <c r="G6" s="104">
        <v>0.56000000000000005</v>
      </c>
      <c r="H6" s="30" t="s">
        <v>450</v>
      </c>
      <c r="I6" s="31">
        <v>1731109</v>
      </c>
      <c r="J6" s="16">
        <v>3654947</v>
      </c>
      <c r="K6" s="16">
        <v>5386056</v>
      </c>
      <c r="L6" s="16">
        <v>1392496</v>
      </c>
      <c r="M6" s="16">
        <v>2334714</v>
      </c>
      <c r="N6" s="16">
        <v>3727211</v>
      </c>
    </row>
    <row r="7" spans="1:14" ht="15" customHeight="1" x14ac:dyDescent="0.2">
      <c r="A7" s="4" t="s">
        <v>451</v>
      </c>
      <c r="B7" s="29">
        <v>200</v>
      </c>
      <c r="C7" s="29">
        <v>0</v>
      </c>
      <c r="D7" s="16">
        <v>392436</v>
      </c>
      <c r="E7" s="16">
        <v>392436</v>
      </c>
      <c r="F7" s="102">
        <v>212</v>
      </c>
      <c r="G7" s="104">
        <v>0.94</v>
      </c>
      <c r="H7" s="30" t="s">
        <v>452</v>
      </c>
      <c r="I7" s="31">
        <v>294694</v>
      </c>
      <c r="J7" s="16">
        <v>3076840</v>
      </c>
      <c r="K7" s="16">
        <v>3371534</v>
      </c>
      <c r="L7" s="16">
        <v>177269</v>
      </c>
      <c r="M7" s="16">
        <v>1847784</v>
      </c>
      <c r="N7" s="16">
        <v>2025053</v>
      </c>
    </row>
    <row r="8" spans="1:14" ht="15" customHeight="1" x14ac:dyDescent="0.2">
      <c r="A8" s="4" t="s">
        <v>453</v>
      </c>
      <c r="B8" s="29">
        <v>1080</v>
      </c>
      <c r="C8" s="29">
        <v>0</v>
      </c>
      <c r="D8" s="16">
        <v>616762</v>
      </c>
      <c r="E8" s="16">
        <v>616762</v>
      </c>
      <c r="F8" s="102">
        <v>192</v>
      </c>
      <c r="G8" s="104">
        <v>0</v>
      </c>
      <c r="H8" s="30" t="s">
        <v>454</v>
      </c>
      <c r="I8" s="31">
        <v>297128</v>
      </c>
      <c r="J8" s="16">
        <v>2934645</v>
      </c>
      <c r="K8" s="16">
        <v>3231773</v>
      </c>
      <c r="L8" s="16">
        <v>141136</v>
      </c>
      <c r="M8" s="16">
        <v>1393956</v>
      </c>
      <c r="N8" s="16">
        <v>1535092</v>
      </c>
    </row>
    <row r="9" spans="1:14" ht="15" customHeight="1" x14ac:dyDescent="0.2">
      <c r="A9" s="4" t="s">
        <v>455</v>
      </c>
      <c r="B9" s="29">
        <v>3360</v>
      </c>
      <c r="C9" s="29">
        <v>150</v>
      </c>
      <c r="D9" s="16">
        <v>2106477</v>
      </c>
      <c r="E9" s="16">
        <v>1630465</v>
      </c>
      <c r="F9" s="102">
        <v>314</v>
      </c>
      <c r="G9" s="104">
        <v>0.85</v>
      </c>
      <c r="H9" s="30" t="s">
        <v>456</v>
      </c>
      <c r="I9" s="31">
        <v>1198324</v>
      </c>
      <c r="J9" s="16">
        <v>2885540</v>
      </c>
      <c r="K9" s="16">
        <v>4083864</v>
      </c>
      <c r="L9" s="16">
        <v>979514</v>
      </c>
      <c r="M9" s="16">
        <v>1913797</v>
      </c>
      <c r="N9" s="16">
        <v>2893311</v>
      </c>
    </row>
    <row r="10" spans="1:14" ht="15" customHeight="1" x14ac:dyDescent="0.2">
      <c r="A10" s="3" t="s">
        <v>457</v>
      </c>
      <c r="B10" s="32">
        <v>5420</v>
      </c>
      <c r="C10" s="32">
        <v>180</v>
      </c>
      <c r="D10" s="19">
        <v>4900795</v>
      </c>
      <c r="E10" s="19">
        <v>4230332</v>
      </c>
      <c r="F10" s="103">
        <v>1140</v>
      </c>
      <c r="G10" s="105">
        <v>0.62</v>
      </c>
      <c r="H10" s="33"/>
      <c r="I10" s="34">
        <v>3521255</v>
      </c>
      <c r="J10" s="19">
        <v>12551971</v>
      </c>
      <c r="K10" s="19">
        <v>16073227</v>
      </c>
      <c r="L10" s="19">
        <v>2690415</v>
      </c>
      <c r="M10" s="19">
        <v>7490252</v>
      </c>
      <c r="N10" s="19">
        <v>10180667</v>
      </c>
    </row>
    <row r="11" spans="1:14" ht="15" customHeight="1" x14ac:dyDescent="0.2">
      <c r="A11" s="4" t="s">
        <v>458</v>
      </c>
      <c r="B11" s="29">
        <v>0</v>
      </c>
      <c r="C11" s="29">
        <v>30</v>
      </c>
      <c r="D11" s="16">
        <v>220431</v>
      </c>
      <c r="E11" s="16">
        <v>220431</v>
      </c>
      <c r="F11" s="102">
        <v>36</v>
      </c>
      <c r="G11" s="104">
        <v>0</v>
      </c>
      <c r="H11" s="30" t="s">
        <v>452</v>
      </c>
      <c r="I11" s="31">
        <v>145943</v>
      </c>
      <c r="J11" s="16">
        <v>476457</v>
      </c>
      <c r="K11" s="16">
        <v>622400</v>
      </c>
      <c r="L11" s="16">
        <v>145943</v>
      </c>
      <c r="M11" s="16">
        <v>476457</v>
      </c>
      <c r="N11" s="16">
        <v>622400</v>
      </c>
    </row>
    <row r="12" spans="1:14" ht="15" customHeight="1" x14ac:dyDescent="0.2">
      <c r="A12" s="4" t="s">
        <v>459</v>
      </c>
      <c r="B12" s="29">
        <v>90</v>
      </c>
      <c r="C12" s="29">
        <v>60</v>
      </c>
      <c r="D12" s="16">
        <v>1155462</v>
      </c>
      <c r="E12" s="16">
        <v>934817</v>
      </c>
      <c r="F12" s="102">
        <v>26</v>
      </c>
      <c r="G12" s="104">
        <v>0.16</v>
      </c>
      <c r="H12" s="30" t="s">
        <v>460</v>
      </c>
      <c r="I12" s="31">
        <v>381558</v>
      </c>
      <c r="J12" s="16">
        <v>214562</v>
      </c>
      <c r="K12" s="16">
        <v>596120</v>
      </c>
      <c r="L12" s="16">
        <v>381558</v>
      </c>
      <c r="M12" s="16">
        <v>214562</v>
      </c>
      <c r="N12" s="16">
        <v>596120</v>
      </c>
    </row>
    <row r="13" spans="1:14" ht="15" customHeight="1" x14ac:dyDescent="0.2">
      <c r="A13" s="4" t="s">
        <v>461</v>
      </c>
      <c r="B13" s="29">
        <v>0</v>
      </c>
      <c r="C13" s="29">
        <v>0</v>
      </c>
      <c r="D13" s="16">
        <v>0</v>
      </c>
      <c r="E13" s="16">
        <v>0</v>
      </c>
      <c r="F13" s="102">
        <v>15</v>
      </c>
      <c r="G13" s="104">
        <v>0</v>
      </c>
      <c r="H13" s="30" t="s">
        <v>462</v>
      </c>
      <c r="I13" s="31">
        <v>48167</v>
      </c>
      <c r="J13" s="16">
        <v>347552</v>
      </c>
      <c r="K13" s="16">
        <v>395719</v>
      </c>
      <c r="L13" s="16">
        <v>48167</v>
      </c>
      <c r="M13" s="16">
        <v>347552</v>
      </c>
      <c r="N13" s="16">
        <v>395719</v>
      </c>
    </row>
    <row r="14" spans="1:14" ht="15" customHeight="1" x14ac:dyDescent="0.2">
      <c r="A14" s="4" t="s">
        <v>463</v>
      </c>
      <c r="B14" s="29">
        <v>810</v>
      </c>
      <c r="C14" s="29">
        <v>150</v>
      </c>
      <c r="D14" s="16">
        <v>1446137</v>
      </c>
      <c r="E14" s="16">
        <v>1225549</v>
      </c>
      <c r="F14" s="102">
        <v>106</v>
      </c>
      <c r="G14" s="104">
        <v>0.17</v>
      </c>
      <c r="H14" s="30" t="s">
        <v>456</v>
      </c>
      <c r="I14" s="31">
        <v>660294</v>
      </c>
      <c r="J14" s="16">
        <v>941647</v>
      </c>
      <c r="K14" s="16">
        <v>1601941</v>
      </c>
      <c r="L14" s="16">
        <v>588347</v>
      </c>
      <c r="M14" s="16">
        <v>678466</v>
      </c>
      <c r="N14" s="16">
        <v>1266813</v>
      </c>
    </row>
    <row r="15" spans="1:14" ht="15" customHeight="1" x14ac:dyDescent="0.2">
      <c r="A15" s="3" t="s">
        <v>464</v>
      </c>
      <c r="B15" s="32">
        <v>900</v>
      </c>
      <c r="C15" s="32">
        <v>240</v>
      </c>
      <c r="D15" s="19">
        <v>2822030</v>
      </c>
      <c r="E15" s="19">
        <v>2380797</v>
      </c>
      <c r="F15" s="103">
        <v>183</v>
      </c>
      <c r="G15" s="105">
        <v>0.12</v>
      </c>
      <c r="H15" s="33"/>
      <c r="I15" s="34">
        <v>1235963</v>
      </c>
      <c r="J15" s="19">
        <v>1980218</v>
      </c>
      <c r="K15" s="19">
        <v>3216181</v>
      </c>
      <c r="L15" s="19">
        <v>1164016</v>
      </c>
      <c r="M15" s="19">
        <v>1717037</v>
      </c>
      <c r="N15" s="19">
        <v>2881053</v>
      </c>
    </row>
    <row r="16" spans="1:14" ht="15" customHeight="1" x14ac:dyDescent="0.2">
      <c r="A16" s="4" t="s">
        <v>465</v>
      </c>
      <c r="B16" s="29">
        <v>30</v>
      </c>
      <c r="C16" s="29">
        <v>0</v>
      </c>
      <c r="D16" s="16">
        <v>32768</v>
      </c>
      <c r="E16" s="16">
        <v>16384</v>
      </c>
      <c r="F16" s="102">
        <v>34</v>
      </c>
      <c r="G16" s="104">
        <v>0.84</v>
      </c>
      <c r="H16" s="30" t="s">
        <v>460</v>
      </c>
      <c r="I16" s="31">
        <v>242585</v>
      </c>
      <c r="J16" s="16">
        <v>130200</v>
      </c>
      <c r="K16" s="16">
        <v>372785</v>
      </c>
      <c r="L16" s="16">
        <v>121292</v>
      </c>
      <c r="M16" s="16">
        <v>65100</v>
      </c>
      <c r="N16" s="16">
        <v>186392</v>
      </c>
    </row>
    <row r="17" spans="1:14" ht="15" customHeight="1" x14ac:dyDescent="0.2">
      <c r="A17" s="4" t="s">
        <v>466</v>
      </c>
      <c r="B17" s="29">
        <v>0</v>
      </c>
      <c r="C17" s="29">
        <v>50</v>
      </c>
      <c r="D17" s="16">
        <v>365342</v>
      </c>
      <c r="E17" s="16">
        <v>365342</v>
      </c>
      <c r="F17" s="102">
        <v>12</v>
      </c>
      <c r="G17" s="104">
        <v>0</v>
      </c>
      <c r="H17" s="30" t="s">
        <v>467</v>
      </c>
      <c r="I17" s="31">
        <v>29943</v>
      </c>
      <c r="J17" s="16">
        <v>114259</v>
      </c>
      <c r="K17" s="16">
        <v>144202</v>
      </c>
      <c r="L17" s="16">
        <v>29943</v>
      </c>
      <c r="M17" s="16">
        <v>114259</v>
      </c>
      <c r="N17" s="16">
        <v>144202</v>
      </c>
    </row>
    <row r="18" spans="1:14" ht="15" customHeight="1" x14ac:dyDescent="0.2">
      <c r="A18" s="4" t="s">
        <v>468</v>
      </c>
      <c r="B18" s="29">
        <v>20</v>
      </c>
      <c r="C18" s="29">
        <v>10</v>
      </c>
      <c r="D18" s="16">
        <v>200741</v>
      </c>
      <c r="E18" s="16">
        <v>100370</v>
      </c>
      <c r="F18" s="102">
        <v>18</v>
      </c>
      <c r="G18" s="104">
        <v>0.5</v>
      </c>
      <c r="H18" s="30" t="s">
        <v>467</v>
      </c>
      <c r="I18" s="31">
        <v>79995</v>
      </c>
      <c r="J18" s="16">
        <v>152324</v>
      </c>
      <c r="K18" s="16">
        <v>232319</v>
      </c>
      <c r="L18" s="16">
        <v>39998</v>
      </c>
      <c r="M18" s="16">
        <v>76162</v>
      </c>
      <c r="N18" s="16">
        <v>116160</v>
      </c>
    </row>
    <row r="19" spans="1:14" ht="15" customHeight="1" x14ac:dyDescent="0.2">
      <c r="A19" s="4" t="s">
        <v>469</v>
      </c>
      <c r="B19" s="29">
        <v>190</v>
      </c>
      <c r="C19" s="29">
        <v>70</v>
      </c>
      <c r="D19" s="16">
        <v>388809</v>
      </c>
      <c r="E19" s="16">
        <v>255590</v>
      </c>
      <c r="F19" s="102">
        <v>16</v>
      </c>
      <c r="G19" s="104">
        <v>0</v>
      </c>
      <c r="H19" s="30" t="s">
        <v>470</v>
      </c>
      <c r="I19" s="31">
        <v>52183</v>
      </c>
      <c r="J19" s="16">
        <v>88745</v>
      </c>
      <c r="K19" s="16">
        <v>140928</v>
      </c>
      <c r="L19" s="16">
        <v>40546</v>
      </c>
      <c r="M19" s="16">
        <v>63409</v>
      </c>
      <c r="N19" s="16">
        <v>103955</v>
      </c>
    </row>
    <row r="20" spans="1:14" ht="15" customHeight="1" x14ac:dyDescent="0.2">
      <c r="A20" s="3" t="s">
        <v>471</v>
      </c>
      <c r="B20" s="32">
        <v>240</v>
      </c>
      <c r="C20" s="32">
        <v>130</v>
      </c>
      <c r="D20" s="19">
        <v>987660</v>
      </c>
      <c r="E20" s="19">
        <v>737686</v>
      </c>
      <c r="F20" s="103">
        <v>80</v>
      </c>
      <c r="G20" s="105">
        <v>0.47</v>
      </c>
      <c r="H20" s="33"/>
      <c r="I20" s="34">
        <v>404706</v>
      </c>
      <c r="J20" s="19">
        <v>485527</v>
      </c>
      <c r="K20" s="19">
        <v>890233</v>
      </c>
      <c r="L20" s="19">
        <v>231779</v>
      </c>
      <c r="M20" s="19">
        <v>318930</v>
      </c>
      <c r="N20" s="19">
        <v>550709</v>
      </c>
    </row>
    <row r="21" spans="1:14" ht="15" customHeight="1" x14ac:dyDescent="0.2">
      <c r="A21" s="3" t="s">
        <v>472</v>
      </c>
      <c r="B21" s="32">
        <v>6560</v>
      </c>
      <c r="C21" s="32">
        <v>550</v>
      </c>
      <c r="D21" s="19">
        <v>8710485</v>
      </c>
      <c r="E21" s="19">
        <v>7348816</v>
      </c>
      <c r="F21" s="103">
        <v>1402</v>
      </c>
      <c r="G21" s="105">
        <v>0.54</v>
      </c>
      <c r="H21" s="33"/>
      <c r="I21" s="34">
        <v>5161924</v>
      </c>
      <c r="J21" s="19">
        <v>15017717</v>
      </c>
      <c r="K21" s="19">
        <v>20179641</v>
      </c>
      <c r="L21" s="19">
        <v>4086209</v>
      </c>
      <c r="M21" s="19">
        <v>9526219</v>
      </c>
      <c r="N21" s="19">
        <v>13612428</v>
      </c>
    </row>
    <row r="22" spans="1:14" ht="15" customHeight="1" x14ac:dyDescent="0.2">
      <c r="A22" s="3" t="s">
        <v>473</v>
      </c>
    </row>
    <row r="24" spans="1:14" ht="15" customHeight="1" x14ac:dyDescent="0.2">
      <c r="A24" s="14" t="s">
        <v>1073</v>
      </c>
      <c r="B24" s="15"/>
      <c r="C24" s="15"/>
      <c r="D24" s="15"/>
      <c r="E24" s="15"/>
      <c r="F24" s="15"/>
    </row>
    <row r="25" spans="1:14" ht="15" customHeight="1" x14ac:dyDescent="0.2">
      <c r="A25" s="3"/>
      <c r="B25" s="3" t="s">
        <v>326</v>
      </c>
      <c r="C25" s="3" t="s">
        <v>322</v>
      </c>
      <c r="D25" s="3" t="s">
        <v>325</v>
      </c>
      <c r="E25" s="3" t="s">
        <v>474</v>
      </c>
      <c r="F25" s="3" t="s">
        <v>475</v>
      </c>
    </row>
    <row r="26" spans="1:14" ht="15" customHeight="1" x14ac:dyDescent="0.2">
      <c r="A26" s="3" t="s">
        <v>476</v>
      </c>
      <c r="B26" s="16">
        <v>860191</v>
      </c>
      <c r="C26" s="16">
        <v>798338</v>
      </c>
      <c r="D26" s="16">
        <v>849758</v>
      </c>
      <c r="E26" s="16">
        <v>1709949</v>
      </c>
      <c r="F26" s="16">
        <v>1581098</v>
      </c>
    </row>
    <row r="27" spans="1:14" ht="15" customHeight="1" x14ac:dyDescent="0.2">
      <c r="A27" s="3" t="s">
        <v>477</v>
      </c>
      <c r="B27" s="16">
        <v>269255</v>
      </c>
      <c r="C27" s="16">
        <v>250296</v>
      </c>
      <c r="D27" s="16">
        <v>268277</v>
      </c>
      <c r="E27" s="16">
        <v>537532</v>
      </c>
      <c r="F27" s="16">
        <v>480880</v>
      </c>
    </row>
    <row r="28" spans="1:14" ht="15" customHeight="1" x14ac:dyDescent="0.2">
      <c r="A28" s="3" t="s">
        <v>478</v>
      </c>
      <c r="B28" s="16">
        <v>37983</v>
      </c>
      <c r="C28" s="16">
        <v>31524</v>
      </c>
      <c r="D28" s="16">
        <v>30553</v>
      </c>
      <c r="E28" s="16">
        <v>68536</v>
      </c>
      <c r="F28" s="16">
        <v>63512</v>
      </c>
    </row>
    <row r="29" spans="1:14" ht="15" customHeight="1" x14ac:dyDescent="0.2">
      <c r="A29" s="3" t="s">
        <v>479</v>
      </c>
      <c r="B29" s="16">
        <v>104210</v>
      </c>
      <c r="C29" s="16">
        <v>95640</v>
      </c>
      <c r="D29" s="16">
        <v>99250</v>
      </c>
      <c r="E29" s="16">
        <v>203460</v>
      </c>
      <c r="F29" s="16">
        <v>184840</v>
      </c>
    </row>
    <row r="30" spans="1:14" ht="15" customHeight="1" x14ac:dyDescent="0.2">
      <c r="A30" s="3" t="s">
        <v>480</v>
      </c>
      <c r="B30" s="19">
        <v>1271639</v>
      </c>
      <c r="C30" s="19">
        <v>1175798</v>
      </c>
      <c r="D30" s="19">
        <v>1247838</v>
      </c>
      <c r="E30" s="19">
        <v>2519477</v>
      </c>
      <c r="F30" s="19">
        <v>2310329</v>
      </c>
    </row>
    <row r="31" spans="1:14" ht="15" customHeight="1" x14ac:dyDescent="0.2">
      <c r="A31" s="3" t="s">
        <v>481</v>
      </c>
      <c r="B31" s="16">
        <v>298503</v>
      </c>
      <c r="C31" s="16">
        <v>275249</v>
      </c>
      <c r="D31" s="16">
        <v>297775</v>
      </c>
      <c r="E31" s="16">
        <v>596279</v>
      </c>
      <c r="F31" s="16">
        <v>538301</v>
      </c>
    </row>
    <row r="32" spans="1:14" ht="15" customHeight="1" x14ac:dyDescent="0.2">
      <c r="A32" s="3" t="s">
        <v>482</v>
      </c>
      <c r="B32" s="16">
        <v>220489</v>
      </c>
      <c r="C32" s="16">
        <v>208364</v>
      </c>
      <c r="D32" s="16">
        <v>207957</v>
      </c>
      <c r="E32" s="16">
        <v>428446</v>
      </c>
      <c r="F32" s="16">
        <v>394433</v>
      </c>
    </row>
    <row r="33" spans="1:6" ht="15" customHeight="1" x14ac:dyDescent="0.2">
      <c r="A33" s="3" t="s">
        <v>483</v>
      </c>
      <c r="B33" s="16">
        <v>44400</v>
      </c>
      <c r="C33" s="16">
        <v>39093</v>
      </c>
      <c r="D33" s="16">
        <v>42551</v>
      </c>
      <c r="E33" s="16">
        <v>86951</v>
      </c>
      <c r="F33" s="16">
        <v>77456</v>
      </c>
    </row>
    <row r="34" spans="1:6" ht="15" customHeight="1" x14ac:dyDescent="0.2">
      <c r="A34" s="3" t="s">
        <v>484</v>
      </c>
      <c r="B34" s="16">
        <v>5419</v>
      </c>
      <c r="C34" s="16">
        <v>5339</v>
      </c>
      <c r="D34" s="16">
        <v>5474</v>
      </c>
      <c r="E34" s="16">
        <v>10894</v>
      </c>
      <c r="F34" s="16">
        <v>10259</v>
      </c>
    </row>
    <row r="35" spans="1:6" ht="15" customHeight="1" x14ac:dyDescent="0.2">
      <c r="A35" s="3" t="s">
        <v>485</v>
      </c>
      <c r="B35" s="19">
        <v>568812</v>
      </c>
      <c r="C35" s="19">
        <v>528045</v>
      </c>
      <c r="D35" s="19">
        <v>553757</v>
      </c>
      <c r="E35" s="19">
        <v>1122570</v>
      </c>
      <c r="F35" s="19">
        <v>1020449</v>
      </c>
    </row>
    <row r="36" spans="1:6" ht="15" customHeight="1" x14ac:dyDescent="0.2">
      <c r="A36" s="3" t="s">
        <v>486</v>
      </c>
      <c r="B36" s="19">
        <v>702827</v>
      </c>
      <c r="C36" s="19">
        <v>647753</v>
      </c>
      <c r="D36" s="19">
        <v>694081</v>
      </c>
      <c r="E36" s="19">
        <v>1396907</v>
      </c>
      <c r="F36" s="19">
        <v>1289880</v>
      </c>
    </row>
    <row r="37" spans="1:6" ht="15" customHeight="1" x14ac:dyDescent="0.2">
      <c r="A37" s="3" t="s">
        <v>487</v>
      </c>
      <c r="B37" s="16">
        <v>4636</v>
      </c>
      <c r="C37" s="16">
        <v>6988</v>
      </c>
      <c r="D37" s="16">
        <v>1566</v>
      </c>
      <c r="E37" s="16">
        <v>6202</v>
      </c>
      <c r="F37" s="16">
        <v>7039</v>
      </c>
    </row>
    <row r="38" spans="1:6" ht="15" customHeight="1" x14ac:dyDescent="0.2">
      <c r="A38" s="3" t="s">
        <v>488</v>
      </c>
      <c r="B38" s="16">
        <v>683</v>
      </c>
      <c r="C38" s="16">
        <v>537</v>
      </c>
      <c r="D38" s="16">
        <v>637</v>
      </c>
      <c r="E38" s="16">
        <v>1320</v>
      </c>
      <c r="F38" s="16">
        <v>1102</v>
      </c>
    </row>
    <row r="39" spans="1:6" ht="15" customHeight="1" x14ac:dyDescent="0.2">
      <c r="A39" s="3" t="s">
        <v>489</v>
      </c>
      <c r="B39" s="19">
        <v>697508</v>
      </c>
      <c r="C39" s="19">
        <v>640228</v>
      </c>
      <c r="D39" s="19">
        <v>691878</v>
      </c>
      <c r="E39" s="19">
        <v>1389385</v>
      </c>
      <c r="F39" s="19">
        <v>1281739</v>
      </c>
    </row>
    <row r="40" spans="1:6" ht="15" customHeight="1" x14ac:dyDescent="0.2">
      <c r="A40" s="3" t="s">
        <v>490</v>
      </c>
      <c r="B40" s="19">
        <v>686593</v>
      </c>
      <c r="C40" s="19">
        <v>640228</v>
      </c>
      <c r="D40" s="3"/>
      <c r="E40" s="19">
        <v>1344251</v>
      </c>
      <c r="F40" s="19">
        <v>1281739</v>
      </c>
    </row>
    <row r="41" spans="1:6" ht="15" customHeight="1" x14ac:dyDescent="0.2">
      <c r="A41" s="3" t="s">
        <v>491</v>
      </c>
      <c r="B41" s="30">
        <v>0.92500000000000004</v>
      </c>
      <c r="C41" s="30">
        <v>0.91500000000000004</v>
      </c>
      <c r="D41" s="30">
        <v>0.91600000000000004</v>
      </c>
      <c r="E41" s="30">
        <v>0.92500000000000004</v>
      </c>
      <c r="F41" s="30">
        <v>0.91500000000000004</v>
      </c>
    </row>
    <row r="43" spans="1:6" ht="15" customHeight="1" x14ac:dyDescent="0.2">
      <c r="A43" s="14" t="s">
        <v>1074</v>
      </c>
      <c r="B43" s="15"/>
      <c r="C43" s="15"/>
      <c r="D43" s="15"/>
      <c r="E43" s="15"/>
    </row>
    <row r="44" spans="1:6" ht="15" customHeight="1" x14ac:dyDescent="0.2">
      <c r="A44" s="3"/>
      <c r="B44" s="3" t="s">
        <v>326</v>
      </c>
      <c r="C44" s="3" t="s">
        <v>492</v>
      </c>
      <c r="D44" s="3" t="s">
        <v>493</v>
      </c>
    </row>
    <row r="45" spans="1:6" ht="15" customHeight="1" x14ac:dyDescent="0.2">
      <c r="A45" s="3" t="s">
        <v>1075</v>
      </c>
      <c r="B45" s="16">
        <v>87821</v>
      </c>
      <c r="C45" s="16">
        <v>166774</v>
      </c>
      <c r="D45" s="16">
        <v>308772</v>
      </c>
    </row>
    <row r="46" spans="1:6" ht="15" customHeight="1" x14ac:dyDescent="0.2">
      <c r="A46" s="3" t="s">
        <v>1076</v>
      </c>
      <c r="B46" s="29">
        <v>26117</v>
      </c>
      <c r="C46" s="29">
        <v>52745</v>
      </c>
      <c r="D46" s="29">
        <v>93720</v>
      </c>
    </row>
    <row r="47" spans="1:6" ht="15" customHeight="1" x14ac:dyDescent="0.2">
      <c r="A47" s="3" t="s">
        <v>1077</v>
      </c>
      <c r="B47" s="35">
        <v>4.0999999999999996</v>
      </c>
      <c r="C47" s="35">
        <v>4.2</v>
      </c>
      <c r="D47" s="35">
        <v>4.3</v>
      </c>
    </row>
    <row r="48" spans="1:6" ht="15" customHeight="1" x14ac:dyDescent="0.2">
      <c r="A48" s="3" t="s">
        <v>1078</v>
      </c>
      <c r="B48" s="36">
        <v>280</v>
      </c>
      <c r="C48" s="36">
        <v>263</v>
      </c>
      <c r="D48" s="36">
        <v>275</v>
      </c>
    </row>
    <row r="49" spans="1:4" ht="15" customHeight="1" x14ac:dyDescent="0.2">
      <c r="A49" s="3" t="s">
        <v>1079</v>
      </c>
      <c r="B49" s="16">
        <v>99846</v>
      </c>
      <c r="C49" s="16">
        <v>424327</v>
      </c>
      <c r="D49" s="16">
        <v>578462</v>
      </c>
    </row>
    <row r="50" spans="1:4" ht="15" customHeight="1" x14ac:dyDescent="0.2">
      <c r="A50" s="3" t="s">
        <v>1080</v>
      </c>
      <c r="B50" s="29">
        <v>52875</v>
      </c>
      <c r="C50" s="29">
        <v>202219</v>
      </c>
      <c r="D50" s="29">
        <v>269684</v>
      </c>
    </row>
    <row r="51" spans="1:4" ht="15" customHeight="1" x14ac:dyDescent="0.2">
      <c r="A51" s="3" t="s">
        <v>1081</v>
      </c>
      <c r="B51" s="35">
        <v>8.8000000000000007</v>
      </c>
      <c r="C51" s="35">
        <v>12.2</v>
      </c>
      <c r="D51" s="35">
        <v>11.5</v>
      </c>
    </row>
    <row r="52" spans="1:4" ht="15" customHeight="1" x14ac:dyDescent="0.2">
      <c r="A52" s="3" t="s">
        <v>1082</v>
      </c>
      <c r="B52" s="36">
        <v>157</v>
      </c>
      <c r="C52" s="36">
        <v>175</v>
      </c>
      <c r="D52" s="36">
        <v>179</v>
      </c>
    </row>
    <row r="53" spans="1:4" ht="15" customHeight="1" x14ac:dyDescent="0.2">
      <c r="A53" s="3" t="s">
        <v>1083</v>
      </c>
      <c r="B53" s="16">
        <v>187666</v>
      </c>
      <c r="C53" s="16">
        <v>591102</v>
      </c>
      <c r="D53" s="16">
        <v>887234</v>
      </c>
    </row>
    <row r="54" spans="1:4" ht="15" customHeight="1" x14ac:dyDescent="0.2">
      <c r="A54" s="3" t="s">
        <v>1084</v>
      </c>
      <c r="B54" s="29">
        <v>34788</v>
      </c>
      <c r="C54" s="29">
        <v>79367</v>
      </c>
      <c r="D54" s="29">
        <v>153323</v>
      </c>
    </row>
    <row r="55" spans="1:4" ht="15" customHeight="1" x14ac:dyDescent="0.2">
      <c r="A55" s="3" t="s">
        <v>1085</v>
      </c>
      <c r="B55" s="36">
        <v>331</v>
      </c>
      <c r="C55" s="36">
        <v>303</v>
      </c>
      <c r="D55" s="36">
        <v>320</v>
      </c>
    </row>
    <row r="56" spans="1:4" ht="15" customHeight="1" x14ac:dyDescent="0.2">
      <c r="A56" s="3" t="s">
        <v>1086</v>
      </c>
      <c r="B56" s="36">
        <v>348</v>
      </c>
      <c r="C56" s="36">
        <v>318</v>
      </c>
      <c r="D56" s="36">
        <v>334</v>
      </c>
    </row>
    <row r="57" spans="1:4" ht="15" customHeight="1" x14ac:dyDescent="0.2">
      <c r="A57" s="3" t="s">
        <v>1087</v>
      </c>
      <c r="B57" s="30">
        <v>5.1999999999999998E-2</v>
      </c>
      <c r="C57" s="30">
        <v>4.7E-2</v>
      </c>
      <c r="D57" s="30">
        <v>4.4999999999999998E-2</v>
      </c>
    </row>
    <row r="58" spans="1:4" ht="15" customHeight="1" x14ac:dyDescent="0.2">
      <c r="A58" s="3" t="s">
        <v>1088</v>
      </c>
      <c r="B58" s="29">
        <v>35835</v>
      </c>
      <c r="C58" s="29">
        <v>50209</v>
      </c>
      <c r="D58" s="29">
        <v>108392</v>
      </c>
    </row>
    <row r="59" spans="1:4" ht="15" customHeight="1" x14ac:dyDescent="0.2">
      <c r="A59" s="3" t="s">
        <v>1089</v>
      </c>
      <c r="B59" s="36">
        <v>159</v>
      </c>
      <c r="C59" s="36">
        <v>163</v>
      </c>
      <c r="D59" s="36">
        <v>170</v>
      </c>
    </row>
    <row r="60" spans="1:4" ht="15" customHeight="1" x14ac:dyDescent="0.2">
      <c r="A60" s="3" t="s">
        <v>1090</v>
      </c>
      <c r="B60" s="36">
        <v>265</v>
      </c>
      <c r="C60" s="36">
        <v>243</v>
      </c>
      <c r="D60" s="36">
        <v>218</v>
      </c>
    </row>
    <row r="61" spans="1:4" ht="15" customHeight="1" x14ac:dyDescent="0.2">
      <c r="A61" s="3" t="s">
        <v>1091</v>
      </c>
      <c r="B61" s="30">
        <v>0.66700000000000004</v>
      </c>
      <c r="C61" s="30">
        <v>0.48699999999999999</v>
      </c>
      <c r="D61" s="30">
        <v>0.28399999999999997</v>
      </c>
    </row>
    <row r="62" spans="1:4" ht="15" customHeight="1" x14ac:dyDescent="0.2">
      <c r="A62" s="3" t="s">
        <v>1092</v>
      </c>
      <c r="B62" s="30">
        <v>0.25600000000000001</v>
      </c>
      <c r="C62" s="30">
        <v>0.159</v>
      </c>
      <c r="D62" s="30">
        <v>0.11</v>
      </c>
    </row>
    <row r="63" spans="1:4" ht="15" customHeight="1" x14ac:dyDescent="0.2">
      <c r="A63" s="3" t="s">
        <v>1093</v>
      </c>
      <c r="B63" s="30">
        <v>0.32100000000000001</v>
      </c>
      <c r="C63" s="30">
        <v>0.19700000000000001</v>
      </c>
      <c r="D63" s="30">
        <v>0.154</v>
      </c>
    </row>
    <row r="64" spans="1:4" ht="15" customHeight="1" x14ac:dyDescent="0.2">
      <c r="A64" s="3" t="s">
        <v>1094</v>
      </c>
      <c r="B64" s="30">
        <v>0.02</v>
      </c>
      <c r="C64" s="30">
        <v>4.3999999999999997E-2</v>
      </c>
      <c r="D64" s="30">
        <v>8.3000000000000004E-2</v>
      </c>
    </row>
    <row r="65" spans="1:4" ht="15" customHeight="1" x14ac:dyDescent="0.2">
      <c r="A65" s="3" t="s">
        <v>1095</v>
      </c>
      <c r="B65" s="30">
        <v>4.0000000000000001E-3</v>
      </c>
      <c r="C65" s="30">
        <v>8.9999999999999993E-3</v>
      </c>
      <c r="D65" s="30">
        <v>3.3000000000000002E-2</v>
      </c>
    </row>
    <row r="66" spans="1:4" ht="15" customHeight="1" x14ac:dyDescent="0.2">
      <c r="A66" s="3" t="s">
        <v>1096</v>
      </c>
      <c r="B66" s="30">
        <v>1.0999999999999999E-2</v>
      </c>
      <c r="C66" s="30">
        <v>2.4E-2</v>
      </c>
      <c r="D66" s="30">
        <v>5.5E-2</v>
      </c>
    </row>
    <row r="68" spans="1:4" ht="15" customHeight="1" x14ac:dyDescent="0.2">
      <c r="A68" s="14" t="s">
        <v>494</v>
      </c>
      <c r="B68" s="15"/>
      <c r="C68" s="15"/>
      <c r="D68" s="15"/>
    </row>
    <row r="69" spans="1:4" ht="15" customHeight="1" x14ac:dyDescent="0.2">
      <c r="A69" s="4" t="s">
        <v>1097</v>
      </c>
      <c r="B69" s="36">
        <v>1900</v>
      </c>
    </row>
    <row r="70" spans="1:4" ht="15" customHeight="1" x14ac:dyDescent="0.2">
      <c r="A70" s="4" t="s">
        <v>1098</v>
      </c>
      <c r="B70" s="36">
        <v>1400</v>
      </c>
    </row>
    <row r="71" spans="1:4" ht="15" customHeight="1" x14ac:dyDescent="0.2">
      <c r="A71" s="4" t="s">
        <v>1099</v>
      </c>
      <c r="B71" s="36">
        <v>307</v>
      </c>
    </row>
    <row r="72" spans="1:4" ht="15" customHeight="1" x14ac:dyDescent="0.2">
      <c r="A72" s="4" t="s">
        <v>1100</v>
      </c>
      <c r="B72" s="36">
        <v>208</v>
      </c>
    </row>
    <row r="73" spans="1:4" ht="15" customHeight="1" x14ac:dyDescent="0.2">
      <c r="A73" s="4" t="s">
        <v>495</v>
      </c>
      <c r="B73" s="36">
        <v>88</v>
      </c>
    </row>
    <row r="74" spans="1:4" ht="15" customHeight="1" x14ac:dyDescent="0.2">
      <c r="A74" s="4" t="s">
        <v>496</v>
      </c>
      <c r="B74" s="36">
        <v>20</v>
      </c>
    </row>
    <row r="75" spans="1:4" ht="15" customHeight="1" x14ac:dyDescent="0.2">
      <c r="A75" s="4" t="s">
        <v>1101</v>
      </c>
      <c r="B75" s="36">
        <v>410</v>
      </c>
    </row>
    <row r="76" spans="1:4" ht="15" customHeight="1" x14ac:dyDescent="0.2">
      <c r="A76" s="4" t="s">
        <v>1102</v>
      </c>
      <c r="B76" s="36">
        <v>205</v>
      </c>
    </row>
    <row r="77" spans="1:4" ht="15" customHeight="1" x14ac:dyDescent="0.2">
      <c r="A77" s="4" t="s">
        <v>497</v>
      </c>
      <c r="B77" s="37">
        <v>9</v>
      </c>
    </row>
    <row r="79" spans="1:4" ht="15" customHeight="1" x14ac:dyDescent="0.2">
      <c r="A79" s="14" t="s">
        <v>498</v>
      </c>
      <c r="B79" s="15"/>
      <c r="C79" s="15"/>
      <c r="D79" s="15"/>
    </row>
    <row r="80" spans="1:4" ht="15" customHeight="1" x14ac:dyDescent="0.2">
      <c r="A80" s="3"/>
      <c r="B80" s="3" t="s">
        <v>499</v>
      </c>
      <c r="C80" s="3" t="s">
        <v>500</v>
      </c>
    </row>
    <row r="81" spans="1:3" ht="15" customHeight="1" x14ac:dyDescent="0.2">
      <c r="A81" s="4" t="s">
        <v>501</v>
      </c>
      <c r="B81" s="36">
        <v>6850</v>
      </c>
      <c r="C81" s="36">
        <v>6950</v>
      </c>
    </row>
    <row r="82" spans="1:3" ht="15" customHeight="1" x14ac:dyDescent="0.2">
      <c r="A82" s="4" t="s">
        <v>502</v>
      </c>
      <c r="B82" s="38">
        <v>-145</v>
      </c>
      <c r="C82" s="38">
        <v>-150</v>
      </c>
    </row>
    <row r="83" spans="1:3" ht="15" customHeight="1" x14ac:dyDescent="0.2">
      <c r="A83" s="4" t="s">
        <v>503</v>
      </c>
      <c r="B83" s="36">
        <v>3750</v>
      </c>
      <c r="C83" s="36">
        <v>3850</v>
      </c>
    </row>
    <row r="84" spans="1:3" ht="15" customHeight="1" x14ac:dyDescent="0.2">
      <c r="A84" s="4" t="s">
        <v>504</v>
      </c>
      <c r="B84" s="36">
        <v>620</v>
      </c>
      <c r="C84" s="36">
        <v>630</v>
      </c>
    </row>
    <row r="85" spans="1:3" ht="15" customHeight="1" x14ac:dyDescent="0.2">
      <c r="A85" s="4" t="s">
        <v>505</v>
      </c>
      <c r="B85" s="30">
        <v>0.09</v>
      </c>
      <c r="C85" s="30">
        <v>0.11</v>
      </c>
    </row>
    <row r="86" spans="1:3" ht="15" customHeight="1" x14ac:dyDescent="0.2">
      <c r="A86" s="4" t="s">
        <v>506</v>
      </c>
      <c r="B86" s="30">
        <v>0.12</v>
      </c>
      <c r="C86" s="30">
        <v>0.14000000000000001</v>
      </c>
    </row>
    <row r="87" spans="1:3" ht="15" customHeight="1" x14ac:dyDescent="0.2">
      <c r="A87" s="4" t="s">
        <v>507</v>
      </c>
      <c r="B87" s="37">
        <v>75</v>
      </c>
      <c r="C87" s="37">
        <v>125</v>
      </c>
    </row>
    <row r="88" spans="1:3" ht="15" customHeight="1" x14ac:dyDescent="0.2">
      <c r="A88" s="4" t="s">
        <v>508</v>
      </c>
      <c r="B88" s="30">
        <v>4.2500000000000003E-2</v>
      </c>
      <c r="C88" s="30">
        <v>5.2499999999999998E-2</v>
      </c>
    </row>
    <row r="89" spans="1:3" ht="15" customHeight="1" x14ac:dyDescent="0.2">
      <c r="A89" s="4" t="s">
        <v>509</v>
      </c>
      <c r="B89" s="36">
        <v>1000</v>
      </c>
      <c r="C89" s="36">
        <v>1500</v>
      </c>
    </row>
    <row r="90" spans="1:3" ht="15" customHeight="1" x14ac:dyDescent="0.2">
      <c r="A90" s="4" t="s">
        <v>510</v>
      </c>
      <c r="B90" s="36">
        <v>4250</v>
      </c>
      <c r="C90" s="36">
        <v>4750</v>
      </c>
    </row>
    <row r="91" spans="1:3" ht="15" customHeight="1" x14ac:dyDescent="0.2">
      <c r="A91" s="4" t="s">
        <v>511</v>
      </c>
      <c r="B91" s="36">
        <v>30</v>
      </c>
      <c r="C91" s="36">
        <v>35</v>
      </c>
    </row>
    <row r="92" spans="1:3" ht="15" customHeight="1" x14ac:dyDescent="0.2">
      <c r="A92" s="4" t="s">
        <v>512</v>
      </c>
      <c r="B92" s="36">
        <v>400</v>
      </c>
      <c r="C92" s="36">
        <v>425</v>
      </c>
    </row>
    <row r="93" spans="1:3" ht="15" customHeight="1" x14ac:dyDescent="0.2">
      <c r="A93" s="4" t="s">
        <v>513</v>
      </c>
      <c r="B93" s="36">
        <v>1500</v>
      </c>
      <c r="C93" s="36">
        <v>2000</v>
      </c>
    </row>
    <row r="94" spans="1:3" ht="15" customHeight="1" x14ac:dyDescent="0.2">
      <c r="A94" s="4" t="s">
        <v>514</v>
      </c>
      <c r="B94" s="30">
        <v>4.4999999999999998E-2</v>
      </c>
      <c r="C94" s="30">
        <v>5.5E-2</v>
      </c>
    </row>
    <row r="95" spans="1:3" ht="15" customHeight="1" x14ac:dyDescent="0.2">
      <c r="A95" s="4" t="s">
        <v>515</v>
      </c>
      <c r="B95" s="39">
        <v>3.1</v>
      </c>
      <c r="C95" s="39">
        <v>3.15</v>
      </c>
    </row>
    <row r="96" spans="1:3" ht="15" customHeight="1" x14ac:dyDescent="0.2">
      <c r="A96" s="4" t="s">
        <v>516</v>
      </c>
      <c r="B96" s="39">
        <v>8.4</v>
      </c>
      <c r="C96" s="39">
        <v>8.4499999999999993</v>
      </c>
    </row>
    <row r="97" spans="1:8" ht="15" customHeight="1" x14ac:dyDescent="0.2">
      <c r="A97" s="4" t="s">
        <v>517</v>
      </c>
      <c r="B97" s="40">
        <v>-0.5</v>
      </c>
      <c r="C97" s="40">
        <v>-0.5</v>
      </c>
    </row>
    <row r="98" spans="1:8" ht="15" customHeight="1" x14ac:dyDescent="0.2">
      <c r="A98" s="3" t="s">
        <v>518</v>
      </c>
      <c r="B98" s="41">
        <v>8.15</v>
      </c>
      <c r="C98" s="41">
        <v>8.1999999999999993</v>
      </c>
    </row>
    <row r="99" spans="1:8" ht="15" customHeight="1" x14ac:dyDescent="0.2">
      <c r="A99" s="4" t="s">
        <v>519</v>
      </c>
      <c r="B99" s="39">
        <v>8.1</v>
      </c>
      <c r="C99" s="39">
        <v>8.15</v>
      </c>
    </row>
    <row r="100" spans="1:8" ht="15" customHeight="1" x14ac:dyDescent="0.2">
      <c r="A100" s="4" t="s">
        <v>520</v>
      </c>
      <c r="B100" s="42">
        <v>1.32</v>
      </c>
      <c r="C100" s="42">
        <v>1.37</v>
      </c>
    </row>
    <row r="101" spans="1:8" ht="15" customHeight="1" x14ac:dyDescent="0.2">
      <c r="A101" s="4" t="s">
        <v>521</v>
      </c>
      <c r="B101" s="42">
        <v>1.1299999999999999</v>
      </c>
      <c r="C101" s="42">
        <v>1.18</v>
      </c>
    </row>
    <row r="103" spans="1:8" ht="15" customHeight="1" x14ac:dyDescent="0.2">
      <c r="A103" s="14" t="s">
        <v>1103</v>
      </c>
      <c r="B103" s="15"/>
      <c r="C103" s="15"/>
      <c r="D103" s="15"/>
      <c r="E103" s="15"/>
      <c r="F103" s="15"/>
      <c r="G103" s="15"/>
      <c r="H103" s="15"/>
    </row>
    <row r="104" spans="1:8" ht="15" customHeight="1" x14ac:dyDescent="0.2">
      <c r="A104" s="8"/>
      <c r="B104" s="8" t="s">
        <v>522</v>
      </c>
      <c r="C104" s="8" t="s">
        <v>523</v>
      </c>
      <c r="D104" s="8" t="s">
        <v>524</v>
      </c>
      <c r="E104" s="8" t="s">
        <v>525</v>
      </c>
      <c r="F104" s="8" t="s">
        <v>526</v>
      </c>
      <c r="G104" s="8" t="s">
        <v>527</v>
      </c>
    </row>
    <row r="105" spans="1:8" ht="15" customHeight="1" x14ac:dyDescent="0.2">
      <c r="A105" s="4" t="s">
        <v>528</v>
      </c>
      <c r="B105" s="36">
        <v>6600</v>
      </c>
      <c r="C105" s="36">
        <v>6700</v>
      </c>
      <c r="D105" s="36">
        <v>6650</v>
      </c>
      <c r="E105" s="36">
        <v>6750</v>
      </c>
      <c r="F105" s="36">
        <v>6850</v>
      </c>
      <c r="G105" s="36">
        <v>6950</v>
      </c>
    </row>
    <row r="106" spans="1:8" ht="15" customHeight="1" x14ac:dyDescent="0.2">
      <c r="A106" s="4" t="s">
        <v>503</v>
      </c>
      <c r="B106" s="36">
        <v>3600</v>
      </c>
      <c r="C106" s="36">
        <v>3700</v>
      </c>
      <c r="D106" s="36">
        <v>3650</v>
      </c>
      <c r="E106" s="36">
        <v>3750</v>
      </c>
      <c r="F106" s="36">
        <v>3750</v>
      </c>
      <c r="G106" s="36">
        <v>3850</v>
      </c>
    </row>
    <row r="107" spans="1:8" ht="15" customHeight="1" x14ac:dyDescent="0.2">
      <c r="A107" s="4" t="s">
        <v>504</v>
      </c>
      <c r="B107" s="36">
        <v>610</v>
      </c>
      <c r="C107" s="36">
        <v>620</v>
      </c>
      <c r="D107" s="36">
        <v>615</v>
      </c>
      <c r="E107" s="36">
        <v>625</v>
      </c>
      <c r="F107" s="36">
        <v>620</v>
      </c>
      <c r="G107" s="36">
        <v>630</v>
      </c>
    </row>
    <row r="108" spans="1:8" ht="15" customHeight="1" x14ac:dyDescent="0.2">
      <c r="A108" s="4" t="s">
        <v>505</v>
      </c>
      <c r="B108" s="30">
        <v>0.06</v>
      </c>
      <c r="C108" s="30">
        <v>0.08</v>
      </c>
      <c r="D108" s="30">
        <v>6.5000000000000002E-2</v>
      </c>
      <c r="E108" s="30">
        <v>8.5000000000000006E-2</v>
      </c>
      <c r="F108" s="30">
        <v>0.09</v>
      </c>
      <c r="G108" s="30">
        <v>0.11</v>
      </c>
    </row>
    <row r="109" spans="1:8" ht="15" customHeight="1" x14ac:dyDescent="0.2">
      <c r="A109" s="4" t="s">
        <v>506</v>
      </c>
      <c r="B109" s="30">
        <v>8.5000000000000006E-2</v>
      </c>
      <c r="C109" s="30">
        <v>0.105</v>
      </c>
      <c r="D109" s="30">
        <v>9.5000000000000001E-2</v>
      </c>
      <c r="E109" s="30">
        <v>0.115</v>
      </c>
      <c r="F109" s="30">
        <v>0.12</v>
      </c>
      <c r="G109" s="30">
        <v>0.14000000000000001</v>
      </c>
    </row>
    <row r="110" spans="1:8" ht="15" customHeight="1" x14ac:dyDescent="0.2">
      <c r="A110" s="4" t="s">
        <v>529</v>
      </c>
      <c r="B110" s="37">
        <v>50</v>
      </c>
      <c r="C110" s="37">
        <v>100</v>
      </c>
      <c r="D110" s="37">
        <v>50</v>
      </c>
      <c r="E110" s="37">
        <v>100</v>
      </c>
      <c r="F110" s="37">
        <v>75</v>
      </c>
      <c r="G110" s="37">
        <v>125</v>
      </c>
    </row>
    <row r="111" spans="1:8" ht="15" customHeight="1" x14ac:dyDescent="0.2">
      <c r="A111" s="4" t="s">
        <v>508</v>
      </c>
      <c r="B111" s="30">
        <v>0.04</v>
      </c>
      <c r="C111" s="30">
        <v>0.05</v>
      </c>
      <c r="D111" s="30">
        <v>0.04</v>
      </c>
      <c r="E111" s="30">
        <v>0.05</v>
      </c>
      <c r="F111" s="30">
        <v>4.2500000000000003E-2</v>
      </c>
      <c r="G111" s="30">
        <v>5.2499999999999998E-2</v>
      </c>
    </row>
    <row r="112" spans="1:8" ht="15" customHeight="1" x14ac:dyDescent="0.2">
      <c r="A112" s="4" t="s">
        <v>509</v>
      </c>
      <c r="B112" s="36">
        <v>500</v>
      </c>
      <c r="C112" s="36">
        <v>1000</v>
      </c>
      <c r="D112" s="36">
        <v>500</v>
      </c>
      <c r="E112" s="36">
        <v>1000</v>
      </c>
      <c r="F112" s="36">
        <v>1000</v>
      </c>
      <c r="G112" s="36">
        <v>1500</v>
      </c>
    </row>
    <row r="113" spans="1:7" ht="15" customHeight="1" x14ac:dyDescent="0.2">
      <c r="A113" s="4" t="s">
        <v>510</v>
      </c>
      <c r="B113" s="36">
        <v>3250</v>
      </c>
      <c r="C113" s="36">
        <v>3750</v>
      </c>
      <c r="D113" s="36">
        <v>3500</v>
      </c>
      <c r="E113" s="36">
        <v>4000</v>
      </c>
      <c r="F113" s="36">
        <v>4250</v>
      </c>
      <c r="G113" s="36">
        <v>4750</v>
      </c>
    </row>
    <row r="114" spans="1:7" ht="15" customHeight="1" x14ac:dyDescent="0.2">
      <c r="A114" s="4" t="s">
        <v>513</v>
      </c>
      <c r="B114" s="36">
        <v>1000</v>
      </c>
      <c r="C114" s="36">
        <v>1500</v>
      </c>
      <c r="D114" s="36">
        <v>1500</v>
      </c>
      <c r="E114" s="36">
        <v>2000</v>
      </c>
      <c r="F114" s="36">
        <v>1500</v>
      </c>
      <c r="G114" s="36">
        <v>2000</v>
      </c>
    </row>
    <row r="115" spans="1:7" ht="15" customHeight="1" x14ac:dyDescent="0.2">
      <c r="A115" s="4" t="s">
        <v>514</v>
      </c>
      <c r="B115" s="30">
        <v>0.04</v>
      </c>
      <c r="C115" s="30">
        <v>4.4999999999999998E-2</v>
      </c>
      <c r="D115" s="30">
        <v>0.04</v>
      </c>
      <c r="E115" s="30">
        <v>4.4999999999999998E-2</v>
      </c>
      <c r="F115" s="30">
        <v>4.4999999999999998E-2</v>
      </c>
      <c r="G115" s="30">
        <v>5.5E-2</v>
      </c>
    </row>
    <row r="116" spans="1:7" ht="15" customHeight="1" x14ac:dyDescent="0.2">
      <c r="A116" s="4" t="s">
        <v>515</v>
      </c>
      <c r="B116" s="39">
        <v>2.5499999999999998</v>
      </c>
      <c r="C116" s="39">
        <v>2.65</v>
      </c>
      <c r="D116" s="39">
        <v>2.65</v>
      </c>
      <c r="E116" s="39">
        <v>2.75</v>
      </c>
      <c r="F116" s="39">
        <v>3.1</v>
      </c>
      <c r="G116" s="39">
        <v>3.15</v>
      </c>
    </row>
    <row r="117" spans="1:7" ht="15" customHeight="1" x14ac:dyDescent="0.2">
      <c r="A117" s="4" t="s">
        <v>516</v>
      </c>
      <c r="B117" s="39">
        <v>7.45</v>
      </c>
      <c r="C117" s="39">
        <v>7.55</v>
      </c>
      <c r="D117" s="39">
        <v>7.6</v>
      </c>
      <c r="E117" s="39">
        <v>7.7</v>
      </c>
      <c r="F117" s="39">
        <v>8.4</v>
      </c>
      <c r="G117" s="39">
        <v>8.4499999999999993</v>
      </c>
    </row>
    <row r="118" spans="1:7" ht="15" customHeight="1" x14ac:dyDescent="0.2">
      <c r="A118" s="4" t="s">
        <v>517</v>
      </c>
      <c r="B118" s="40">
        <v>0</v>
      </c>
      <c r="C118" s="40">
        <v>0</v>
      </c>
      <c r="D118" s="40">
        <v>0</v>
      </c>
      <c r="E118" s="40">
        <v>0</v>
      </c>
      <c r="F118" s="40">
        <v>-0.5</v>
      </c>
      <c r="G118" s="40">
        <v>-0.5</v>
      </c>
    </row>
    <row r="119" spans="1:7" ht="15" customHeight="1" x14ac:dyDescent="0.2">
      <c r="A119" s="3" t="s">
        <v>530</v>
      </c>
      <c r="B119" s="41">
        <v>7.9</v>
      </c>
      <c r="C119" s="41">
        <v>8</v>
      </c>
      <c r="D119" s="41">
        <v>8</v>
      </c>
      <c r="E119" s="41">
        <v>8.1</v>
      </c>
      <c r="F119" s="41">
        <v>8.15</v>
      </c>
      <c r="G119" s="41">
        <v>8.1999999999999993</v>
      </c>
    </row>
    <row r="121" spans="1:7" ht="15" customHeight="1" x14ac:dyDescent="0.2">
      <c r="A121" s="14" t="s">
        <v>1104</v>
      </c>
      <c r="B121" s="15"/>
      <c r="C121" s="15"/>
      <c r="D121" s="15"/>
      <c r="E121" s="15"/>
      <c r="F121" s="15"/>
    </row>
    <row r="122" spans="1:7" ht="15" customHeight="1" x14ac:dyDescent="0.2">
      <c r="A122" s="8"/>
      <c r="B122" s="8" t="s">
        <v>326</v>
      </c>
      <c r="C122" s="8" t="s">
        <v>325</v>
      </c>
      <c r="D122" s="8" t="s">
        <v>322</v>
      </c>
      <c r="E122" s="8" t="s">
        <v>474</v>
      </c>
      <c r="F122" s="8" t="s">
        <v>475</v>
      </c>
    </row>
    <row r="123" spans="1:7" ht="15" customHeight="1" x14ac:dyDescent="0.2">
      <c r="A123" s="3" t="s">
        <v>486</v>
      </c>
      <c r="B123" s="16">
        <v>926867</v>
      </c>
      <c r="C123" s="16">
        <v>901963</v>
      </c>
      <c r="D123" s="16">
        <v>795832</v>
      </c>
      <c r="E123" s="16">
        <v>1828831</v>
      </c>
      <c r="F123" s="16">
        <v>1577368</v>
      </c>
    </row>
    <row r="124" spans="1:7" ht="15" customHeight="1" x14ac:dyDescent="0.2">
      <c r="A124" s="3" t="s">
        <v>489</v>
      </c>
      <c r="B124" s="16">
        <v>898333</v>
      </c>
      <c r="C124" s="16">
        <v>877720</v>
      </c>
      <c r="D124" s="16">
        <v>770595</v>
      </c>
      <c r="E124" s="16">
        <v>1776055</v>
      </c>
      <c r="F124" s="16">
        <v>1541757</v>
      </c>
    </row>
    <row r="125" spans="1:7" ht="15" customHeight="1" x14ac:dyDescent="0.2">
      <c r="A125" s="3" t="s">
        <v>531</v>
      </c>
      <c r="B125" s="16">
        <v>1674633</v>
      </c>
      <c r="C125" s="16">
        <v>1600226</v>
      </c>
      <c r="D125" s="16">
        <v>1457360</v>
      </c>
      <c r="E125" s="16">
        <v>3274860</v>
      </c>
      <c r="F125" s="16">
        <v>2844221</v>
      </c>
    </row>
    <row r="126" spans="1:7" ht="15" customHeight="1" x14ac:dyDescent="0.2">
      <c r="A126" s="3" t="s">
        <v>532</v>
      </c>
      <c r="B126" s="25">
        <f>B123/B125</f>
        <v>0.55347470162119106</v>
      </c>
      <c r="C126" s="25">
        <f>C123/C125</f>
        <v>0.56364725982454977</v>
      </c>
      <c r="D126" s="25">
        <f>D123/D125</f>
        <v>0.54607783938079812</v>
      </c>
      <c r="E126" s="25">
        <f>E123/E125</f>
        <v>0.55844555187091971</v>
      </c>
      <c r="F126" s="25">
        <f>F123/F125</f>
        <v>0.55458700290870511</v>
      </c>
    </row>
    <row r="128" spans="1:7" ht="15" customHeight="1" x14ac:dyDescent="0.2">
      <c r="A128" s="14" t="s">
        <v>1105</v>
      </c>
      <c r="B128" s="15"/>
      <c r="C128" s="15"/>
      <c r="D128" s="15"/>
      <c r="E128" s="15"/>
    </row>
    <row r="129" spans="1:4" ht="15" customHeight="1" x14ac:dyDescent="0.2">
      <c r="A129" s="8"/>
      <c r="B129" s="8" t="s">
        <v>533</v>
      </c>
      <c r="C129" s="8" t="s">
        <v>534</v>
      </c>
      <c r="D129" s="8" t="s">
        <v>535</v>
      </c>
    </row>
    <row r="130" spans="1:4" ht="15" customHeight="1" x14ac:dyDescent="0.2">
      <c r="A130" s="4" t="s">
        <v>536</v>
      </c>
      <c r="B130" s="16">
        <v>37131</v>
      </c>
      <c r="C130" s="35">
        <v>10.6</v>
      </c>
      <c r="D130" s="36">
        <v>293</v>
      </c>
    </row>
    <row r="131" spans="1:4" ht="15" customHeight="1" x14ac:dyDescent="0.2">
      <c r="A131" s="4" t="s">
        <v>537</v>
      </c>
      <c r="B131" s="16">
        <v>82706</v>
      </c>
      <c r="C131" s="35">
        <v>44.2</v>
      </c>
      <c r="D131" s="36">
        <v>156</v>
      </c>
    </row>
    <row r="132" spans="1:4" ht="15" customHeight="1" x14ac:dyDescent="0.2">
      <c r="A132" s="4" t="s">
        <v>538</v>
      </c>
      <c r="B132" s="16">
        <v>42149</v>
      </c>
      <c r="C132" s="35">
        <v>13</v>
      </c>
      <c r="D132" s="36">
        <v>269</v>
      </c>
    </row>
    <row r="133" spans="1:4" ht="15" customHeight="1" x14ac:dyDescent="0.2">
      <c r="A133" s="4" t="s">
        <v>539</v>
      </c>
      <c r="B133" s="16">
        <v>4999</v>
      </c>
      <c r="C133" s="35">
        <v>2.5</v>
      </c>
      <c r="D133" s="36">
        <v>167</v>
      </c>
    </row>
    <row r="134" spans="1:4" ht="15" customHeight="1" x14ac:dyDescent="0.2">
      <c r="A134" s="4" t="s">
        <v>540</v>
      </c>
      <c r="B134" s="16">
        <v>8541</v>
      </c>
      <c r="C134" s="35">
        <v>2.5</v>
      </c>
      <c r="D134" s="36">
        <v>286</v>
      </c>
    </row>
    <row r="135" spans="1:4" ht="15" customHeight="1" x14ac:dyDescent="0.2">
      <c r="A135" s="4" t="s">
        <v>541</v>
      </c>
      <c r="B135" s="16">
        <v>12141</v>
      </c>
      <c r="C135" s="35">
        <v>6.2</v>
      </c>
      <c r="D135" s="36">
        <v>165</v>
      </c>
    </row>
    <row r="136" spans="1:4" ht="15" customHeight="1" x14ac:dyDescent="0.2">
      <c r="A136" s="4" t="s">
        <v>542</v>
      </c>
      <c r="B136" s="16">
        <v>20497</v>
      </c>
    </row>
    <row r="137" spans="1:4" ht="15" customHeight="1" x14ac:dyDescent="0.2">
      <c r="A137" s="3" t="s">
        <v>1106</v>
      </c>
      <c r="B137" s="19">
        <v>208495</v>
      </c>
      <c r="C137" s="43">
        <v>79</v>
      </c>
      <c r="D137" s="44">
        <v>198</v>
      </c>
    </row>
    <row r="138" spans="1:4" ht="15" customHeight="1" x14ac:dyDescent="0.2">
      <c r="A138" s="3" t="s">
        <v>1107</v>
      </c>
      <c r="B138" s="19">
        <v>306944</v>
      </c>
      <c r="C138" s="43">
        <v>129.80000000000001</v>
      </c>
      <c r="D138" s="44">
        <v>183</v>
      </c>
    </row>
    <row r="140" spans="1:4" ht="15" customHeight="1" x14ac:dyDescent="0.2">
      <c r="A140" s="14" t="s">
        <v>543</v>
      </c>
      <c r="B140" s="15"/>
      <c r="C140" s="15"/>
      <c r="D140" s="15"/>
    </row>
    <row r="141" spans="1:4" ht="15" customHeight="1" x14ac:dyDescent="0.2">
      <c r="A141" s="4" t="s">
        <v>544</v>
      </c>
      <c r="B141" s="45">
        <v>475</v>
      </c>
      <c r="C141" s="2" t="s">
        <v>545</v>
      </c>
    </row>
    <row r="142" spans="1:4" ht="15" customHeight="1" x14ac:dyDescent="0.2">
      <c r="A142" s="4" t="s">
        <v>546</v>
      </c>
      <c r="B142" s="45">
        <v>53.1</v>
      </c>
      <c r="C142" s="2" t="s">
        <v>547</v>
      </c>
    </row>
    <row r="143" spans="1:4" ht="15" customHeight="1" x14ac:dyDescent="0.2">
      <c r="A143" s="4" t="s">
        <v>548</v>
      </c>
      <c r="B143" s="45">
        <v>20</v>
      </c>
      <c r="C143" s="2"/>
    </row>
    <row r="144" spans="1:4" ht="15" customHeight="1" x14ac:dyDescent="0.2">
      <c r="A144" s="4" t="s">
        <v>1108</v>
      </c>
      <c r="B144" s="45">
        <v>134</v>
      </c>
      <c r="C144" s="2"/>
    </row>
    <row r="145" spans="1:6" ht="15" customHeight="1" x14ac:dyDescent="0.2">
      <c r="A145" s="4" t="s">
        <v>1109</v>
      </c>
      <c r="B145" s="45">
        <v>3500</v>
      </c>
      <c r="C145" s="2" t="s">
        <v>549</v>
      </c>
    </row>
    <row r="146" spans="1:6" ht="15" customHeight="1" x14ac:dyDescent="0.2">
      <c r="A146" s="4" t="s">
        <v>550</v>
      </c>
      <c r="B146" s="45">
        <v>7800</v>
      </c>
      <c r="C146" s="2" t="s">
        <v>551</v>
      </c>
    </row>
    <row r="147" spans="1:6" ht="15" customHeight="1" x14ac:dyDescent="0.2">
      <c r="A147" s="4" t="s">
        <v>552</v>
      </c>
      <c r="B147" s="45">
        <v>-24</v>
      </c>
      <c r="C147" s="2"/>
    </row>
    <row r="148" spans="1:6" ht="15" customHeight="1" x14ac:dyDescent="0.2">
      <c r="A148" s="4" t="s">
        <v>553</v>
      </c>
      <c r="B148" s="45">
        <v>1200</v>
      </c>
      <c r="C148" s="2" t="s">
        <v>554</v>
      </c>
    </row>
    <row r="149" spans="1:6" ht="15" customHeight="1" x14ac:dyDescent="0.2">
      <c r="A149" s="4" t="s">
        <v>555</v>
      </c>
      <c r="B149" s="45">
        <v>2500</v>
      </c>
      <c r="C149" s="2" t="s">
        <v>554</v>
      </c>
    </row>
    <row r="151" spans="1:6" ht="15" customHeight="1" x14ac:dyDescent="0.2">
      <c r="A151" s="3" t="s">
        <v>1110</v>
      </c>
    </row>
    <row r="153" spans="1:6" ht="15" customHeight="1" x14ac:dyDescent="0.2">
      <c r="A153" s="14" t="s">
        <v>556</v>
      </c>
      <c r="B153" s="15"/>
      <c r="C153" s="15"/>
      <c r="D153" s="15"/>
      <c r="E153" s="15"/>
      <c r="F153" s="15"/>
    </row>
    <row r="154" spans="1:6" ht="15" customHeight="1" x14ac:dyDescent="0.2">
      <c r="A154" s="8"/>
      <c r="B154" s="8" t="s">
        <v>557</v>
      </c>
      <c r="C154" s="8" t="s">
        <v>558</v>
      </c>
    </row>
    <row r="155" spans="1:6" ht="15" customHeight="1" x14ac:dyDescent="0.2">
      <c r="A155" s="3" t="s">
        <v>559</v>
      </c>
      <c r="B155" s="46">
        <v>1324</v>
      </c>
      <c r="C155" s="46">
        <v>1428</v>
      </c>
    </row>
    <row r="156" spans="1:6" ht="15" customHeight="1" x14ac:dyDescent="0.2">
      <c r="A156" s="4" t="s">
        <v>560</v>
      </c>
      <c r="B156" s="47">
        <v>120</v>
      </c>
      <c r="C156" s="47">
        <v>208</v>
      </c>
    </row>
    <row r="157" spans="1:6" ht="15" customHeight="1" x14ac:dyDescent="0.2">
      <c r="A157" s="4" t="s">
        <v>561</v>
      </c>
      <c r="B157" s="47">
        <v>-198</v>
      </c>
      <c r="C157" s="47">
        <v>-208</v>
      </c>
    </row>
    <row r="158" spans="1:6" ht="15" customHeight="1" x14ac:dyDescent="0.2">
      <c r="A158" s="3" t="s">
        <v>562</v>
      </c>
      <c r="B158" s="46">
        <v>1244</v>
      </c>
      <c r="C158" s="46">
        <v>1427</v>
      </c>
    </row>
    <row r="159" spans="1:6" ht="15" customHeight="1" x14ac:dyDescent="0.2">
      <c r="A159" s="4" t="s">
        <v>563</v>
      </c>
      <c r="B159" s="47">
        <v>573</v>
      </c>
      <c r="C159" s="47">
        <v>635</v>
      </c>
    </row>
    <row r="160" spans="1:6" ht="15" customHeight="1" x14ac:dyDescent="0.2">
      <c r="A160" s="4" t="s">
        <v>564</v>
      </c>
      <c r="B160" s="47">
        <v>393</v>
      </c>
      <c r="C160" s="47">
        <v>480</v>
      </c>
    </row>
    <row r="161" spans="1:3" ht="15" customHeight="1" x14ac:dyDescent="0.2">
      <c r="A161" s="4" t="s">
        <v>565</v>
      </c>
      <c r="B161" s="47">
        <v>277</v>
      </c>
      <c r="C161" s="47">
        <v>312</v>
      </c>
    </row>
    <row r="162" spans="1:3" ht="15" customHeight="1" x14ac:dyDescent="0.2">
      <c r="A162" s="3" t="s">
        <v>566</v>
      </c>
    </row>
    <row r="164" spans="1:3" ht="15" customHeight="1" x14ac:dyDescent="0.2">
      <c r="A164" s="14" t="s">
        <v>1111</v>
      </c>
      <c r="B164" s="15"/>
      <c r="C164" s="15"/>
    </row>
    <row r="165" spans="1:3" ht="15" customHeight="1" x14ac:dyDescent="0.2">
      <c r="A165" s="4" t="s">
        <v>567</v>
      </c>
      <c r="B165" s="16">
        <v>1443042</v>
      </c>
    </row>
    <row r="166" spans="1:3" ht="15" customHeight="1" x14ac:dyDescent="0.2">
      <c r="A166" s="4" t="s">
        <v>568</v>
      </c>
      <c r="B166" s="16">
        <v>2068433</v>
      </c>
    </row>
    <row r="167" spans="1:3" ht="15" customHeight="1" x14ac:dyDescent="0.2">
      <c r="A167" s="4" t="s">
        <v>569</v>
      </c>
      <c r="B167" s="16">
        <v>81858</v>
      </c>
    </row>
    <row r="168" spans="1:3" ht="15" customHeight="1" x14ac:dyDescent="0.2">
      <c r="A168" s="3" t="s">
        <v>570</v>
      </c>
      <c r="B168" s="19">
        <v>3593333</v>
      </c>
    </row>
    <row r="169" spans="1:3" ht="15" customHeight="1" x14ac:dyDescent="0.2">
      <c r="A169" s="4" t="s">
        <v>571</v>
      </c>
      <c r="B169" s="16">
        <v>-100654</v>
      </c>
    </row>
    <row r="170" spans="1:3" ht="15" customHeight="1" x14ac:dyDescent="0.2">
      <c r="A170" s="4" t="s">
        <v>572</v>
      </c>
      <c r="B170" s="16">
        <v>77280</v>
      </c>
    </row>
    <row r="171" spans="1:3" ht="15" customHeight="1" x14ac:dyDescent="0.2">
      <c r="A171" s="4" t="s">
        <v>573</v>
      </c>
      <c r="B171" s="16">
        <v>336841</v>
      </c>
    </row>
    <row r="172" spans="1:3" ht="15" customHeight="1" x14ac:dyDescent="0.2">
      <c r="A172" s="3" t="s">
        <v>570</v>
      </c>
      <c r="B172" s="19">
        <v>3906800</v>
      </c>
    </row>
    <row r="173" spans="1:3" ht="15" customHeight="1" x14ac:dyDescent="0.2">
      <c r="A173" s="4" t="s">
        <v>574</v>
      </c>
      <c r="B173" s="16">
        <v>375581</v>
      </c>
    </row>
    <row r="174" spans="1:3" ht="15" customHeight="1" x14ac:dyDescent="0.2">
      <c r="A174" s="4" t="s">
        <v>575</v>
      </c>
      <c r="B174" s="16">
        <v>190182</v>
      </c>
    </row>
    <row r="175" spans="1:3" ht="15" customHeight="1" x14ac:dyDescent="0.2">
      <c r="A175" s="4" t="s">
        <v>576</v>
      </c>
      <c r="B175" s="16">
        <v>917416</v>
      </c>
    </row>
    <row r="176" spans="1:3" ht="15" customHeight="1" x14ac:dyDescent="0.2">
      <c r="A176" s="4" t="s">
        <v>577</v>
      </c>
      <c r="B176" s="16">
        <v>122841</v>
      </c>
    </row>
    <row r="177" spans="1:2" ht="15" customHeight="1" x14ac:dyDescent="0.2">
      <c r="A177" s="4" t="s">
        <v>578</v>
      </c>
      <c r="B177" s="16">
        <v>9770384</v>
      </c>
    </row>
    <row r="178" spans="1:2" ht="15" customHeight="1" x14ac:dyDescent="0.2">
      <c r="A178" s="4" t="s">
        <v>579</v>
      </c>
      <c r="B178" s="16">
        <v>-2152379</v>
      </c>
    </row>
    <row r="179" spans="1:2" ht="15" customHeight="1" x14ac:dyDescent="0.2">
      <c r="A179" s="4" t="s">
        <v>580</v>
      </c>
      <c r="B179" s="16">
        <v>1864796</v>
      </c>
    </row>
    <row r="180" spans="1:2" ht="15" customHeight="1" x14ac:dyDescent="0.2">
      <c r="A180" s="4" t="s">
        <v>581</v>
      </c>
      <c r="B180" s="16">
        <v>1564955</v>
      </c>
    </row>
    <row r="181" spans="1:2" ht="15" customHeight="1" x14ac:dyDescent="0.2">
      <c r="A181" s="4" t="s">
        <v>582</v>
      </c>
      <c r="B181" s="16">
        <v>610232</v>
      </c>
    </row>
    <row r="182" spans="1:2" ht="15" customHeight="1" x14ac:dyDescent="0.2">
      <c r="A182" s="4" t="s">
        <v>583</v>
      </c>
      <c r="B182" s="16">
        <v>-166589</v>
      </c>
    </row>
    <row r="183" spans="1:2" ht="15" customHeight="1" x14ac:dyDescent="0.2">
      <c r="A183" s="3" t="s">
        <v>584</v>
      </c>
      <c r="B183" s="19">
        <v>12531656</v>
      </c>
    </row>
    <row r="184" spans="1:2" ht="15" customHeight="1" x14ac:dyDescent="0.2">
      <c r="A184" s="4" t="s">
        <v>585</v>
      </c>
      <c r="B184" s="16">
        <v>726207</v>
      </c>
    </row>
    <row r="185" spans="1:2" ht="15" customHeight="1" x14ac:dyDescent="0.2">
      <c r="A185" s="4" t="s">
        <v>586</v>
      </c>
      <c r="B185" s="16">
        <v>428325</v>
      </c>
    </row>
    <row r="186" spans="1:2" ht="15" customHeight="1" x14ac:dyDescent="0.2">
      <c r="A186" s="4" t="s">
        <v>587</v>
      </c>
      <c r="B186" s="16">
        <v>16019337</v>
      </c>
    </row>
    <row r="187" spans="1:2" ht="15" customHeight="1" x14ac:dyDescent="0.2">
      <c r="A187" s="4" t="s">
        <v>588</v>
      </c>
      <c r="B187" s="16">
        <v>1593736</v>
      </c>
    </row>
    <row r="188" spans="1:2" ht="15" customHeight="1" x14ac:dyDescent="0.2">
      <c r="A188" s="4" t="s">
        <v>589</v>
      </c>
      <c r="B188" s="16">
        <v>3393133</v>
      </c>
    </row>
    <row r="189" spans="1:2" ht="15" customHeight="1" x14ac:dyDescent="0.2">
      <c r="A189" s="4" t="s">
        <v>590</v>
      </c>
      <c r="B189" s="16">
        <v>1124899</v>
      </c>
    </row>
    <row r="190" spans="1:2" ht="15" customHeight="1" x14ac:dyDescent="0.2">
      <c r="A190" s="4" t="s">
        <v>591</v>
      </c>
      <c r="B190" s="16">
        <v>759979</v>
      </c>
    </row>
    <row r="191" spans="1:2" ht="15" customHeight="1" x14ac:dyDescent="0.2">
      <c r="A191" s="4" t="s">
        <v>592</v>
      </c>
      <c r="B191" s="16">
        <v>486827</v>
      </c>
    </row>
    <row r="192" spans="1:2" ht="15" customHeight="1" x14ac:dyDescent="0.2">
      <c r="A192" s="4" t="s">
        <v>593</v>
      </c>
      <c r="B192" s="16">
        <v>755000</v>
      </c>
    </row>
    <row r="193" spans="1:2" ht="15" customHeight="1" x14ac:dyDescent="0.2">
      <c r="A193" s="4" t="s">
        <v>594</v>
      </c>
      <c r="B193" s="16">
        <v>1985418</v>
      </c>
    </row>
    <row r="194" spans="1:2" ht="15" customHeight="1" x14ac:dyDescent="0.2">
      <c r="A194" s="4" t="s">
        <v>595</v>
      </c>
      <c r="B194" s="16">
        <v>-502009</v>
      </c>
    </row>
    <row r="195" spans="1:2" ht="15" customHeight="1" x14ac:dyDescent="0.2">
      <c r="A195" s="3" t="s">
        <v>596</v>
      </c>
      <c r="B195" s="19">
        <v>26770852</v>
      </c>
    </row>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J45"/>
  <sheetViews>
    <sheetView showGridLines="0" tabSelected="1" zoomScale="156" zoomScaleNormal="100" workbookViewId="0">
      <selection activeCell="B8" sqref="B8"/>
    </sheetView>
  </sheetViews>
  <sheetFormatPr baseColWidth="10" defaultColWidth="8.6640625" defaultRowHeight="15" x14ac:dyDescent="0.2"/>
  <cols>
    <col min="1" max="1" width="44" customWidth="1"/>
    <col min="2" max="5" width="14" customWidth="1"/>
    <col min="10" max="10" width="56" customWidth="1"/>
  </cols>
  <sheetData>
    <row r="1" spans="1:10" ht="15.75" customHeight="1" x14ac:dyDescent="0.2">
      <c r="A1" s="1" t="s">
        <v>1195</v>
      </c>
    </row>
    <row r="2" spans="1:10" ht="15" customHeight="1" x14ac:dyDescent="0.2">
      <c r="A2" s="2" t="s">
        <v>1011</v>
      </c>
    </row>
    <row r="4" spans="1:10" ht="15" customHeight="1" x14ac:dyDescent="0.2">
      <c r="A4" s="8" t="s">
        <v>1012</v>
      </c>
      <c r="B4" s="13" t="s">
        <v>499</v>
      </c>
      <c r="C4" s="13" t="s">
        <v>500</v>
      </c>
      <c r="D4" s="13" t="s">
        <v>1013</v>
      </c>
    </row>
    <row r="6" spans="1:10" ht="15" customHeight="1" x14ac:dyDescent="0.2">
      <c r="A6" s="14" t="s">
        <v>1014</v>
      </c>
      <c r="B6" s="15"/>
      <c r="C6" s="15"/>
      <c r="D6" s="15"/>
    </row>
    <row r="7" spans="1:10" ht="15" customHeight="1" x14ac:dyDescent="0.2">
      <c r="A7" s="7" t="s">
        <v>1176</v>
      </c>
      <c r="B7" s="80">
        <f>DCF!D79</f>
        <v>212.46854013111337</v>
      </c>
      <c r="C7" s="80">
        <f>DCF!D77</f>
        <v>236.49533076683647</v>
      </c>
      <c r="D7" s="77">
        <f t="shared" ref="D7:D12" si="0">AVERAGE(B7:C7)</f>
        <v>224.48193544897492</v>
      </c>
    </row>
    <row r="8" spans="1:10" ht="15" customHeight="1" x14ac:dyDescent="0.2">
      <c r="A8" s="7" t="s">
        <v>1177</v>
      </c>
      <c r="B8" s="80">
        <f>NAV_SOTP!C58</f>
        <v>195.39480321231832</v>
      </c>
      <c r="C8" s="80">
        <f>NAV_SOTP!C56</f>
        <v>244.45833304572906</v>
      </c>
      <c r="D8" s="77">
        <f t="shared" si="0"/>
        <v>219.92656812902368</v>
      </c>
    </row>
    <row r="9" spans="1:10" ht="15" customHeight="1" x14ac:dyDescent="0.2">
      <c r="A9" s="7" t="s">
        <v>1178</v>
      </c>
      <c r="B9" s="80">
        <f>21*FFO_Bridge!K46</f>
        <v>186.03020772536124</v>
      </c>
      <c r="C9" s="80">
        <f>25*FFO_Bridge!K46</f>
        <v>221.46453300638242</v>
      </c>
      <c r="D9" s="77">
        <f t="shared" si="0"/>
        <v>203.74737036587183</v>
      </c>
    </row>
    <row r="10" spans="1:10" ht="15" customHeight="1" x14ac:dyDescent="0.2">
      <c r="A10" s="7" t="s">
        <v>1179</v>
      </c>
      <c r="B10" s="80">
        <f>22*FFO_Bridge!K63</f>
        <v>168.28325231377505</v>
      </c>
      <c r="C10" s="80">
        <f>26*FFO_Bridge!K63</f>
        <v>198.88020727991599</v>
      </c>
      <c r="D10" s="77">
        <f t="shared" si="0"/>
        <v>183.58172979684554</v>
      </c>
    </row>
    <row r="11" spans="1:10" ht="15" customHeight="1" x14ac:dyDescent="0.2">
      <c r="A11" s="7" t="s">
        <v>1180</v>
      </c>
      <c r="B11" s="80">
        <f>Scenarios!B35</f>
        <v>162.55026142175751</v>
      </c>
      <c r="C11" s="80">
        <f>Scenarios!D35</f>
        <v>262.98723866231308</v>
      </c>
      <c r="D11" s="77">
        <f t="shared" si="0"/>
        <v>212.76875004203529</v>
      </c>
    </row>
    <row r="12" spans="1:10" ht="15" customHeight="1" x14ac:dyDescent="0.2">
      <c r="A12" s="7" t="s">
        <v>1015</v>
      </c>
      <c r="B12" s="86">
        <v>220</v>
      </c>
      <c r="C12" s="86">
        <v>229</v>
      </c>
      <c r="D12" s="77">
        <f t="shared" si="0"/>
        <v>224.5</v>
      </c>
      <c r="J12" s="49" t="s">
        <v>1016</v>
      </c>
    </row>
    <row r="14" spans="1:10" ht="15" customHeight="1" x14ac:dyDescent="0.2">
      <c r="A14" s="14" t="s">
        <v>1017</v>
      </c>
      <c r="B14" s="15"/>
      <c r="C14" s="15"/>
      <c r="D14" s="15"/>
    </row>
    <row r="15" spans="1:10" ht="15" customHeight="1" x14ac:dyDescent="0.2">
      <c r="A15" s="7" t="s">
        <v>1018</v>
      </c>
      <c r="B15" s="55">
        <v>0.3</v>
      </c>
      <c r="C15" s="80">
        <f>DCF!B68</f>
        <v>225.14289609067737</v>
      </c>
      <c r="D15" s="80">
        <f>B15*C15</f>
        <v>67.542868827203208</v>
      </c>
    </row>
    <row r="16" spans="1:10" ht="15" customHeight="1" x14ac:dyDescent="0.2">
      <c r="A16" s="7" t="s">
        <v>1019</v>
      </c>
      <c r="B16" s="55">
        <v>0.4</v>
      </c>
      <c r="C16" s="80">
        <f>NAV_SOTP!B48</f>
        <v>217.69640768205051</v>
      </c>
      <c r="D16" s="80">
        <f>B16*C16</f>
        <v>87.078563072820202</v>
      </c>
    </row>
    <row r="17" spans="1:4" ht="15" customHeight="1" x14ac:dyDescent="0.2">
      <c r="A17" s="7" t="s">
        <v>1020</v>
      </c>
      <c r="B17" s="55">
        <v>0.2</v>
      </c>
      <c r="C17" s="80">
        <f>D9</f>
        <v>203.74737036587183</v>
      </c>
      <c r="D17" s="80">
        <f>B17*C17</f>
        <v>40.749474073174369</v>
      </c>
    </row>
    <row r="18" spans="1:4" ht="15" customHeight="1" x14ac:dyDescent="0.2">
      <c r="A18" s="7" t="s">
        <v>1021</v>
      </c>
      <c r="B18" s="55">
        <v>0.1</v>
      </c>
      <c r="C18" s="80">
        <f>D10</f>
        <v>183.58172979684554</v>
      </c>
      <c r="D18" s="80">
        <f>B18*C18</f>
        <v>18.358172979684554</v>
      </c>
    </row>
    <row r="19" spans="1:4" ht="15" customHeight="1" x14ac:dyDescent="0.2">
      <c r="A19" s="3" t="s">
        <v>1022</v>
      </c>
      <c r="B19" s="99">
        <f>SUM(B15:B18)</f>
        <v>0.99999999999999989</v>
      </c>
    </row>
    <row r="20" spans="1:4" ht="15" customHeight="1" x14ac:dyDescent="0.2">
      <c r="A20" s="3" t="s">
        <v>1017</v>
      </c>
      <c r="D20" s="113">
        <f>SUM(D15:D18)</f>
        <v>213.72907895288236</v>
      </c>
    </row>
    <row r="22" spans="1:4" ht="15" customHeight="1" x14ac:dyDescent="0.2">
      <c r="A22" s="14" t="s">
        <v>1023</v>
      </c>
      <c r="B22" s="15"/>
      <c r="C22" s="15"/>
      <c r="D22" s="15"/>
    </row>
    <row r="23" spans="1:4" ht="15" customHeight="1" x14ac:dyDescent="0.2">
      <c r="A23" s="3" t="s">
        <v>1024</v>
      </c>
      <c r="B23" s="77">
        <f>D20</f>
        <v>213.72907895288236</v>
      </c>
    </row>
    <row r="24" spans="1:4" ht="15" customHeight="1" x14ac:dyDescent="0.2">
      <c r="A24" s="7" t="s">
        <v>905</v>
      </c>
      <c r="B24" s="80">
        <f>DCF!B18</f>
        <v>184.26</v>
      </c>
    </row>
    <row r="25" spans="1:4" ht="15" customHeight="1" x14ac:dyDescent="0.2">
      <c r="A25" s="7" t="s">
        <v>1025</v>
      </c>
      <c r="B25" s="75">
        <f>B23/B24-1</f>
        <v>0.15993204685163565</v>
      </c>
    </row>
    <row r="26" spans="1:4" ht="15" customHeight="1" x14ac:dyDescent="0.2">
      <c r="A26" s="7" t="s">
        <v>1026</v>
      </c>
      <c r="B26" s="75">
        <f>Capital!F23/B24</f>
        <v>2.6484315640942148E-2</v>
      </c>
    </row>
    <row r="27" spans="1:4" ht="15" customHeight="1" x14ac:dyDescent="0.2">
      <c r="A27" s="3" t="s">
        <v>1027</v>
      </c>
      <c r="B27" s="98">
        <f>B25+B26</f>
        <v>0.18641636249257779</v>
      </c>
    </row>
    <row r="29" spans="1:4" ht="15" customHeight="1" x14ac:dyDescent="0.2">
      <c r="A29" s="7" t="s">
        <v>1028</v>
      </c>
      <c r="B29" s="80">
        <f>Scenarios!B35</f>
        <v>162.55026142175751</v>
      </c>
    </row>
    <row r="30" spans="1:4" ht="15" customHeight="1" x14ac:dyDescent="0.2">
      <c r="A30" s="7" t="s">
        <v>1029</v>
      </c>
      <c r="B30" s="80">
        <f>Scenarios!D35</f>
        <v>262.98723866231308</v>
      </c>
    </row>
    <row r="31" spans="1:4" ht="15" customHeight="1" x14ac:dyDescent="0.2">
      <c r="A31" s="7" t="s">
        <v>1030</v>
      </c>
      <c r="B31" s="75">
        <f>B29/B24-1</f>
        <v>-0.11782122315338373</v>
      </c>
    </row>
    <row r="32" spans="1:4" ht="15" customHeight="1" x14ac:dyDescent="0.2">
      <c r="A32" s="7" t="s">
        <v>1031</v>
      </c>
      <c r="B32" s="75">
        <f>B30/B24-1</f>
        <v>0.42726168817059085</v>
      </c>
    </row>
    <row r="33" spans="1:4" ht="15" customHeight="1" x14ac:dyDescent="0.2">
      <c r="A33" s="3" t="s">
        <v>1032</v>
      </c>
      <c r="B33" s="68">
        <f>-B32/B31</f>
        <v>3.6263559037607926</v>
      </c>
    </row>
    <row r="35" spans="1:4" ht="15" customHeight="1" x14ac:dyDescent="0.2">
      <c r="A35" s="14" t="s">
        <v>1033</v>
      </c>
      <c r="B35" s="15"/>
      <c r="C35" s="15"/>
      <c r="D35" s="15"/>
    </row>
    <row r="36" spans="1:4" ht="15" customHeight="1" x14ac:dyDescent="0.2">
      <c r="A36" s="7" t="s">
        <v>1034</v>
      </c>
      <c r="B36" s="64">
        <f>Rev_Build!F16</f>
        <v>7017219.6443175022</v>
      </c>
    </row>
    <row r="37" spans="1:4" ht="15" customHeight="1" x14ac:dyDescent="0.2">
      <c r="A37" s="7" t="s">
        <v>709</v>
      </c>
      <c r="B37" s="64">
        <f>Opex_NOI!F45</f>
        <v>3864757.1645091409</v>
      </c>
    </row>
    <row r="38" spans="1:4" ht="15" customHeight="1" x14ac:dyDescent="0.2">
      <c r="A38" s="7" t="s">
        <v>1035</v>
      </c>
      <c r="B38" s="80">
        <f>FFO_Bridge!F46</f>
        <v>8.19959748992936</v>
      </c>
    </row>
    <row r="39" spans="1:4" ht="15" customHeight="1" x14ac:dyDescent="0.2">
      <c r="A39" s="7" t="s">
        <v>1036</v>
      </c>
      <c r="B39" s="80">
        <f>FFO_Bridge!K46</f>
        <v>8.858581320255297</v>
      </c>
    </row>
    <row r="40" spans="1:4" ht="15" customHeight="1" x14ac:dyDescent="0.2">
      <c r="A40" s="7" t="s">
        <v>1037</v>
      </c>
      <c r="B40" s="75">
        <f>FFO_Bridge!K46/FFO_Bridge!F46-1</f>
        <v>8.0367826729945246E-2</v>
      </c>
    </row>
    <row r="41" spans="1:4" ht="15" customHeight="1" x14ac:dyDescent="0.2">
      <c r="A41" s="7" t="s">
        <v>1038</v>
      </c>
      <c r="B41" s="80">
        <f>FFO_Bridge!F63</f>
        <v>7.1332141113107976</v>
      </c>
    </row>
    <row r="42" spans="1:4" ht="15" customHeight="1" x14ac:dyDescent="0.2">
      <c r="A42" s="7" t="s">
        <v>1039</v>
      </c>
      <c r="B42" s="75">
        <f>FFO_Bridge!F64</f>
        <v>0.68412358354167679</v>
      </c>
    </row>
    <row r="43" spans="1:4" ht="15" customHeight="1" x14ac:dyDescent="0.2">
      <c r="A43" s="7" t="s">
        <v>1040</v>
      </c>
      <c r="B43" s="91">
        <f>Capital!B82</f>
        <v>4.996360300671923</v>
      </c>
    </row>
    <row r="44" spans="1:4" ht="15" customHeight="1" x14ac:dyDescent="0.2">
      <c r="A44" s="7" t="s">
        <v>780</v>
      </c>
      <c r="B44" s="75">
        <f>Capital!B80</f>
        <v>8.5304366204112636E-2</v>
      </c>
    </row>
    <row r="45" spans="1:4" ht="15" customHeight="1" x14ac:dyDescent="0.2">
      <c r="A45" s="7" t="s">
        <v>1041</v>
      </c>
      <c r="B45" s="64">
        <f>Capital!B81</f>
        <v>2740057.7727118302</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D37"/>
  <sheetViews>
    <sheetView showGridLines="0" zoomScale="140" zoomScaleNormal="100" workbookViewId="0"/>
  </sheetViews>
  <sheetFormatPr baseColWidth="10" defaultColWidth="8.6640625" defaultRowHeight="15" x14ac:dyDescent="0.2"/>
  <cols>
    <col min="1" max="1" width="46" customWidth="1"/>
    <col min="2" max="4" width="14" customWidth="1"/>
    <col min="10" max="10" width="56" customWidth="1"/>
  </cols>
  <sheetData>
    <row r="1" spans="1:4" ht="15.75" customHeight="1" x14ac:dyDescent="0.2">
      <c r="A1" s="1" t="s">
        <v>1196</v>
      </c>
    </row>
    <row r="2" spans="1:4" ht="15" customHeight="1" x14ac:dyDescent="0.2">
      <c r="A2" s="2" t="s">
        <v>986</v>
      </c>
    </row>
    <row r="4" spans="1:4" ht="15" customHeight="1" x14ac:dyDescent="0.2">
      <c r="A4" s="8" t="s">
        <v>987</v>
      </c>
      <c r="B4" s="13" t="s">
        <v>988</v>
      </c>
      <c r="C4" s="13" t="s">
        <v>989</v>
      </c>
      <c r="D4" s="13" t="s">
        <v>990</v>
      </c>
    </row>
    <row r="6" spans="1:4" ht="15" customHeight="1" x14ac:dyDescent="0.2">
      <c r="A6" s="14" t="s">
        <v>991</v>
      </c>
      <c r="B6" s="15"/>
      <c r="C6" s="15"/>
      <c r="D6" s="15"/>
    </row>
    <row r="7" spans="1:4" ht="15" customHeight="1" x14ac:dyDescent="0.2">
      <c r="A7" s="7" t="s">
        <v>992</v>
      </c>
      <c r="B7" s="61">
        <v>6.25E-2</v>
      </c>
      <c r="C7" s="61">
        <v>5.5E-2</v>
      </c>
      <c r="D7" s="61">
        <v>0.05</v>
      </c>
    </row>
    <row r="8" spans="1:4" ht="15" customHeight="1" x14ac:dyDescent="0.2">
      <c r="A8" s="7" t="s">
        <v>993</v>
      </c>
      <c r="B8" s="90">
        <v>19</v>
      </c>
      <c r="C8" s="90">
        <v>23</v>
      </c>
      <c r="D8" s="90">
        <v>26</v>
      </c>
    </row>
    <row r="9" spans="1:4" ht="15" customHeight="1" x14ac:dyDescent="0.2">
      <c r="A9" s="7" t="s">
        <v>994</v>
      </c>
      <c r="B9" s="61">
        <v>9.5000000000000001E-2</v>
      </c>
      <c r="C9" s="61">
        <v>0.08</v>
      </c>
      <c r="D9" s="61">
        <v>7.4999999999999997E-2</v>
      </c>
    </row>
    <row r="10" spans="1:4" ht="15" customHeight="1" x14ac:dyDescent="0.2">
      <c r="A10" s="7" t="s">
        <v>995</v>
      </c>
      <c r="B10" s="61">
        <v>0.105</v>
      </c>
      <c r="C10" s="61">
        <v>0.115</v>
      </c>
      <c r="D10" s="61">
        <v>0.12</v>
      </c>
    </row>
    <row r="11" spans="1:4" ht="15" customHeight="1" x14ac:dyDescent="0.2">
      <c r="A11" s="7" t="s">
        <v>996</v>
      </c>
      <c r="B11" s="50">
        <v>0</v>
      </c>
      <c r="C11" s="50">
        <v>500</v>
      </c>
      <c r="D11" s="50">
        <v>1000</v>
      </c>
    </row>
    <row r="12" spans="1:4" ht="15" customHeight="1" x14ac:dyDescent="0.2">
      <c r="A12" s="7" t="s">
        <v>997</v>
      </c>
      <c r="B12" s="90">
        <v>10</v>
      </c>
      <c r="C12" s="90">
        <v>15</v>
      </c>
      <c r="D12" s="90">
        <v>18</v>
      </c>
    </row>
    <row r="14" spans="1:4" ht="15" customHeight="1" x14ac:dyDescent="0.2">
      <c r="A14" s="14" t="s">
        <v>998</v>
      </c>
      <c r="B14" s="15"/>
      <c r="C14" s="15"/>
      <c r="D14" s="15"/>
    </row>
    <row r="15" spans="1:4" ht="15" customHeight="1" x14ac:dyDescent="0.2">
      <c r="A15" s="7" t="s">
        <v>937</v>
      </c>
      <c r="B15" s="64">
        <f>NAV_SOTP!$B$7/B7</f>
        <v>68518096</v>
      </c>
      <c r="C15" s="64">
        <f>NAV_SOTP!$B$7/C7</f>
        <v>77861472.727272734</v>
      </c>
      <c r="D15" s="64">
        <f>NAV_SOTP!$B$7/D7</f>
        <v>85647620</v>
      </c>
    </row>
    <row r="16" spans="1:4" ht="15" customHeight="1" x14ac:dyDescent="0.2">
      <c r="A16" s="7" t="s">
        <v>938</v>
      </c>
      <c r="B16" s="64">
        <f>NAV_SOTP!$B$14*B10/B7-NAV_SOTP!$B$14</f>
        <v>7461790.9600000009</v>
      </c>
      <c r="C16" s="64">
        <f>NAV_SOTP!$B$14*C10/C7-NAV_SOTP!$B$14</f>
        <v>11970787.636363637</v>
      </c>
      <c r="D16" s="64">
        <f>NAV_SOTP!$B$14*D10/D7-NAV_SOTP!$B$14</f>
        <v>15362510.799999997</v>
      </c>
    </row>
    <row r="17" spans="1:4" ht="15" customHeight="1" x14ac:dyDescent="0.2">
      <c r="A17" s="7" t="s">
        <v>999</v>
      </c>
      <c r="B17" s="64">
        <f>NAV_SOTP!$B$23*B11</f>
        <v>0</v>
      </c>
      <c r="C17" s="64">
        <f>NAV_SOTP!$B$23*C11</f>
        <v>3555000</v>
      </c>
      <c r="D17" s="64">
        <f>NAV_SOTP!$B$23*D11</f>
        <v>7110000</v>
      </c>
    </row>
    <row r="18" spans="1:4" ht="15" customHeight="1" x14ac:dyDescent="0.2">
      <c r="A18" s="7" t="s">
        <v>940</v>
      </c>
      <c r="B18" s="64">
        <f>NAV_SOTP!$B$28*B12</f>
        <v>1901820</v>
      </c>
      <c r="C18" s="64">
        <f>NAV_SOTP!$B$28*C12</f>
        <v>2852730</v>
      </c>
      <c r="D18" s="64">
        <f>NAV_SOTP!$B$28*D12</f>
        <v>3423276</v>
      </c>
    </row>
    <row r="19" spans="1:4" ht="15" customHeight="1" x14ac:dyDescent="0.2">
      <c r="A19" s="7" t="s">
        <v>941</v>
      </c>
      <c r="B19" s="64">
        <f>NAV_SOTP!$B$35</f>
        <v>12531656</v>
      </c>
      <c r="C19" s="64">
        <f>NAV_SOTP!$B$35</f>
        <v>12531656</v>
      </c>
      <c r="D19" s="64">
        <f>NAV_SOTP!$B$35</f>
        <v>12531656</v>
      </c>
    </row>
    <row r="20" spans="1:4" ht="15" customHeight="1" x14ac:dyDescent="0.2">
      <c r="A20" s="7" t="s">
        <v>943</v>
      </c>
      <c r="B20" s="64">
        <f>NAV_SOTP!$B$36</f>
        <v>26770852</v>
      </c>
      <c r="C20" s="64">
        <f>NAV_SOTP!$B$36</f>
        <v>26770852</v>
      </c>
      <c r="D20" s="64">
        <f>NAV_SOTP!$B$36</f>
        <v>26770852</v>
      </c>
    </row>
    <row r="21" spans="1:4" ht="15" customHeight="1" x14ac:dyDescent="0.2">
      <c r="A21" s="3" t="s">
        <v>944</v>
      </c>
      <c r="B21" s="51">
        <f>B15+B16+B17+B18+B19-B20</f>
        <v>63642510.960000008</v>
      </c>
      <c r="C21" s="51">
        <f>C15+C16+C17+C18+C19-C20</f>
        <v>82000794.363636374</v>
      </c>
      <c r="D21" s="51">
        <f>D15+D16+D17+D18+D19-D20</f>
        <v>97304210.799999997</v>
      </c>
    </row>
    <row r="22" spans="1:4" ht="15" customHeight="1" x14ac:dyDescent="0.2">
      <c r="A22" s="3" t="s">
        <v>946</v>
      </c>
      <c r="B22" s="78">
        <f>B21/NAV_SOTP!$B$47</f>
        <v>168.95868045397228</v>
      </c>
      <c r="C22" s="78">
        <f>C21/NAV_SOTP!$B$47</f>
        <v>217.69640768205051</v>
      </c>
      <c r="D22" s="78">
        <f>D21/NAV_SOTP!$B$47</f>
        <v>258.32404805203424</v>
      </c>
    </row>
    <row r="24" spans="1:4" ht="15" customHeight="1" x14ac:dyDescent="0.2">
      <c r="A24" s="14" t="s">
        <v>1000</v>
      </c>
      <c r="B24" s="15"/>
      <c r="C24" s="15"/>
      <c r="D24" s="15"/>
    </row>
    <row r="25" spans="1:4" ht="15" customHeight="1" x14ac:dyDescent="0.2">
      <c r="A25" s="7" t="s">
        <v>1001</v>
      </c>
      <c r="B25" s="64" cm="1">
        <f t="array" ref="B25">SUMPRODUCT(DCF!$C$36:$L$36/(1+B9)^(COLUMN(DCF!$C$36:$L$36)-COLUMN(DCF!$C$36)+0.5))</f>
        <v>17051686.951594464</v>
      </c>
      <c r="C25" s="64" cm="1">
        <f t="array" ref="C25">SUMPRODUCT(DCF!$C$36:$L$36/(1+C9)^(COLUMN(DCF!$C$36:$L$36)-COLUMN(DCF!$C$36)+0.5))</f>
        <v>18610755.814554852</v>
      </c>
      <c r="D25" s="64" cm="1">
        <f t="array" ref="D25">SUMPRODUCT(DCF!$C$36:$L$36/(1+D9)^(COLUMN(DCF!$C$36:$L$36)-COLUMN(DCF!$C$36)+0.5))</f>
        <v>19170885.542176176</v>
      </c>
    </row>
    <row r="26" spans="1:4" ht="15" customHeight="1" x14ac:dyDescent="0.2">
      <c r="A26" s="7" t="s">
        <v>891</v>
      </c>
      <c r="B26" s="64">
        <f>DCF!$B$44*B8/(1+B9)^10</f>
        <v>62140044.483756483</v>
      </c>
      <c r="C26" s="64">
        <f>DCF!$B$44*C8/(1+C9)^10</f>
        <v>86347433.139463991</v>
      </c>
      <c r="D26" s="64">
        <f>DCF!$B$44*D8/(1+D9)^10</f>
        <v>102246360.03111343</v>
      </c>
    </row>
    <row r="27" spans="1:4" ht="15" customHeight="1" x14ac:dyDescent="0.2">
      <c r="A27" s="7" t="s">
        <v>1002</v>
      </c>
      <c r="B27" s="51">
        <f>B25+B26</f>
        <v>79191731.435350955</v>
      </c>
      <c r="C27" s="51">
        <f>C25+C26</f>
        <v>104958188.95401885</v>
      </c>
      <c r="D27" s="51">
        <f>D25+D26</f>
        <v>121417245.5732896</v>
      </c>
    </row>
    <row r="28" spans="1:4" ht="15" customHeight="1" x14ac:dyDescent="0.2">
      <c r="A28" s="7" t="s">
        <v>1003</v>
      </c>
      <c r="B28" s="64">
        <f>DCF!$B$64+DCF!$B$65</f>
        <v>20064719.268490858</v>
      </c>
      <c r="C28" s="64">
        <f>DCF!$B$64+DCF!$B$65</f>
        <v>20064719.268490858</v>
      </c>
      <c r="D28" s="64">
        <f>DCF!$B$64+DCF!$B$65</f>
        <v>20064719.268490858</v>
      </c>
    </row>
    <row r="29" spans="1:4" ht="15" customHeight="1" x14ac:dyDescent="0.2">
      <c r="A29" s="7" t="s">
        <v>1004</v>
      </c>
      <c r="B29" s="51">
        <f>B27-B28</f>
        <v>59127012.166860096</v>
      </c>
      <c r="C29" s="51">
        <f>C27-C28</f>
        <v>84893469.68552798</v>
      </c>
      <c r="D29" s="51">
        <f>D27-D28</f>
        <v>101352526.30479875</v>
      </c>
    </row>
    <row r="30" spans="1:4" ht="15" customHeight="1" x14ac:dyDescent="0.2">
      <c r="A30" s="3" t="s">
        <v>1005</v>
      </c>
      <c r="B30" s="78">
        <f>B29/DCF!$B$67</f>
        <v>156.14184238954275</v>
      </c>
      <c r="C30" s="78">
        <f>C29/DCF!$B$67</f>
        <v>224.18556726883997</v>
      </c>
      <c r="D30" s="78">
        <f>D29/DCF!$B$67</f>
        <v>267.65042927259196</v>
      </c>
    </row>
    <row r="32" spans="1:4" ht="15" customHeight="1" x14ac:dyDescent="0.2">
      <c r="A32" s="14" t="s">
        <v>1006</v>
      </c>
      <c r="B32" s="15"/>
      <c r="C32" s="15"/>
      <c r="D32" s="15"/>
    </row>
    <row r="33" spans="1:4" ht="15" customHeight="1" x14ac:dyDescent="0.2">
      <c r="A33" s="7" t="s">
        <v>1007</v>
      </c>
      <c r="B33" s="80">
        <f>B22</f>
        <v>168.95868045397228</v>
      </c>
      <c r="C33" s="80">
        <f>C22</f>
        <v>217.69640768205051</v>
      </c>
      <c r="D33" s="80">
        <f>D22</f>
        <v>258.32404805203424</v>
      </c>
    </row>
    <row r="34" spans="1:4" ht="15" customHeight="1" x14ac:dyDescent="0.2">
      <c r="A34" s="7" t="s">
        <v>1008</v>
      </c>
      <c r="B34" s="80">
        <f>B30</f>
        <v>156.14184238954275</v>
      </c>
      <c r="C34" s="80">
        <f>C30</f>
        <v>224.18556726883997</v>
      </c>
      <c r="D34" s="80">
        <f>D30</f>
        <v>267.65042927259196</v>
      </c>
    </row>
    <row r="35" spans="1:4" ht="15" customHeight="1" x14ac:dyDescent="0.2">
      <c r="A35" s="3" t="s">
        <v>1009</v>
      </c>
      <c r="B35" s="78">
        <f>(B33+B34)/2</f>
        <v>162.55026142175751</v>
      </c>
      <c r="C35" s="78">
        <f>(C33+C34)/2</f>
        <v>220.94098747544524</v>
      </c>
      <c r="D35" s="78">
        <f>(D33+D34)/2</f>
        <v>262.98723866231308</v>
      </c>
    </row>
    <row r="36" spans="1:4" ht="15" customHeight="1" x14ac:dyDescent="0.2">
      <c r="A36" s="7" t="s">
        <v>905</v>
      </c>
      <c r="B36" s="80">
        <f>DCF!$B$18</f>
        <v>184.26</v>
      </c>
      <c r="C36" s="80">
        <f>DCF!$B$18</f>
        <v>184.26</v>
      </c>
      <c r="D36" s="80">
        <f>DCF!$B$18</f>
        <v>184.26</v>
      </c>
    </row>
    <row r="37" spans="1:4" ht="15" customHeight="1" x14ac:dyDescent="0.2">
      <c r="A37" s="3" t="s">
        <v>1010</v>
      </c>
      <c r="B37" s="57">
        <f>B35/B36-1</f>
        <v>-0.11782122315338373</v>
      </c>
      <c r="C37" s="57">
        <f>C35/C36-1</f>
        <v>0.19907189555761007</v>
      </c>
      <c r="D37" s="57">
        <f>D35/D36-1</f>
        <v>0.42726168817059085</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J59"/>
  <sheetViews>
    <sheetView showGridLines="0" zoomScale="200" zoomScaleNormal="100" workbookViewId="0"/>
  </sheetViews>
  <sheetFormatPr baseColWidth="10" defaultColWidth="8.6640625" defaultRowHeight="15" x14ac:dyDescent="0.2"/>
  <cols>
    <col min="1" max="1" width="52" customWidth="1"/>
    <col min="2" max="7" width="14" customWidth="1"/>
    <col min="10" max="10" width="54" customWidth="1"/>
  </cols>
  <sheetData>
    <row r="1" spans="1:10" ht="15.75" customHeight="1" x14ac:dyDescent="0.2">
      <c r="A1" s="1" t="s">
        <v>1197</v>
      </c>
    </row>
    <row r="2" spans="1:10" ht="15" customHeight="1" x14ac:dyDescent="0.2">
      <c r="A2" s="2" t="s">
        <v>908</v>
      </c>
    </row>
    <row r="4" spans="1:10" ht="15" customHeight="1" x14ac:dyDescent="0.2">
      <c r="A4" s="14" t="s">
        <v>1168</v>
      </c>
      <c r="B4" s="15"/>
      <c r="C4" s="15"/>
      <c r="D4" s="15"/>
      <c r="E4" s="15"/>
      <c r="F4" s="15"/>
    </row>
    <row r="5" spans="1:10" ht="15" customHeight="1" x14ac:dyDescent="0.2">
      <c r="A5" s="7" t="s">
        <v>909</v>
      </c>
      <c r="B5" s="52">
        <f>Source_Data!B172</f>
        <v>3906800</v>
      </c>
    </row>
    <row r="6" spans="1:10" ht="15" customHeight="1" x14ac:dyDescent="0.2">
      <c r="A6" s="7" t="s">
        <v>910</v>
      </c>
      <c r="B6" s="52">
        <f>Source_Data!B173</f>
        <v>375581</v>
      </c>
    </row>
    <row r="7" spans="1:10" ht="15" customHeight="1" x14ac:dyDescent="0.2">
      <c r="A7" s="3" t="s">
        <v>911</v>
      </c>
      <c r="B7" s="51">
        <f>B5+B6</f>
        <v>4282381</v>
      </c>
    </row>
    <row r="8" spans="1:10" ht="15" customHeight="1" x14ac:dyDescent="0.2">
      <c r="A8" s="7" t="s">
        <v>912</v>
      </c>
      <c r="B8" s="61">
        <v>5.5E-2</v>
      </c>
      <c r="J8" s="49" t="s">
        <v>913</v>
      </c>
    </row>
    <row r="9" spans="1:10" ht="15" customHeight="1" x14ac:dyDescent="0.2">
      <c r="A9" s="3" t="s">
        <v>914</v>
      </c>
      <c r="B9" s="53">
        <f>B7/B8</f>
        <v>77861472.727272734</v>
      </c>
    </row>
    <row r="11" spans="1:10" ht="15" customHeight="1" x14ac:dyDescent="0.2">
      <c r="A11" s="14" t="s">
        <v>1169</v>
      </c>
      <c r="B11" s="15"/>
      <c r="C11" s="15"/>
      <c r="D11" s="15"/>
      <c r="E11" s="15"/>
      <c r="F11" s="15"/>
    </row>
    <row r="12" spans="1:10" ht="15" customHeight="1" x14ac:dyDescent="0.2">
      <c r="A12" s="7" t="s">
        <v>915</v>
      </c>
      <c r="B12" s="52">
        <f>Source_Data!N21</f>
        <v>13612428</v>
      </c>
    </row>
    <row r="13" spans="1:10" ht="15" customHeight="1" x14ac:dyDescent="0.2">
      <c r="A13" s="7" t="s">
        <v>1192</v>
      </c>
      <c r="B13" s="110">
        <f>Source_Data!B178-Source_Data!B191</f>
        <v>-2639206</v>
      </c>
    </row>
    <row r="14" spans="1:10" ht="15" customHeight="1" x14ac:dyDescent="0.2">
      <c r="A14" s="7" t="s">
        <v>1193</v>
      </c>
      <c r="B14" s="52">
        <f>B12+B13</f>
        <v>10973222</v>
      </c>
    </row>
    <row r="15" spans="1:10" ht="15" customHeight="1" x14ac:dyDescent="0.2">
      <c r="A15" s="7" t="s">
        <v>916</v>
      </c>
      <c r="B15" s="61">
        <v>0.115</v>
      </c>
      <c r="J15" s="49" t="s">
        <v>917</v>
      </c>
    </row>
    <row r="16" spans="1:10" ht="15" customHeight="1" x14ac:dyDescent="0.2">
      <c r="A16" s="7" t="s">
        <v>918</v>
      </c>
      <c r="B16" s="64">
        <f>B14*B15/B8</f>
        <v>22944009.636363637</v>
      </c>
    </row>
    <row r="17" spans="1:10" ht="15" customHeight="1" x14ac:dyDescent="0.2">
      <c r="A17" s="7" t="s">
        <v>1194</v>
      </c>
      <c r="B17" s="52">
        <f>-B14</f>
        <v>-10973222</v>
      </c>
      <c r="J17" s="49" t="s">
        <v>1170</v>
      </c>
    </row>
    <row r="18" spans="1:10" ht="15" customHeight="1" x14ac:dyDescent="0.2">
      <c r="A18" s="3" t="s">
        <v>919</v>
      </c>
      <c r="B18" s="53">
        <f>B16+B17</f>
        <v>11970787.636363637</v>
      </c>
      <c r="J18" s="49" t="s">
        <v>920</v>
      </c>
    </row>
    <row r="20" spans="1:10" ht="15" customHeight="1" x14ac:dyDescent="0.2">
      <c r="A20" s="14" t="s">
        <v>1171</v>
      </c>
      <c r="B20" s="15"/>
      <c r="C20" s="15"/>
      <c r="D20" s="15"/>
      <c r="E20" s="15"/>
      <c r="F20" s="15"/>
    </row>
    <row r="21" spans="1:10" ht="15" customHeight="1" x14ac:dyDescent="0.2">
      <c r="A21" s="7" t="s">
        <v>921</v>
      </c>
      <c r="B21" s="95">
        <f>Source_Data!B21</f>
        <v>6560</v>
      </c>
    </row>
    <row r="22" spans="1:10" ht="15" customHeight="1" x14ac:dyDescent="0.2">
      <c r="A22" s="7" t="s">
        <v>922</v>
      </c>
      <c r="B22" s="95">
        <f>Source_Data!C21</f>
        <v>550</v>
      </c>
    </row>
    <row r="23" spans="1:10" ht="15" customHeight="1" x14ac:dyDescent="0.2">
      <c r="A23" s="7" t="s">
        <v>923</v>
      </c>
      <c r="B23" s="85">
        <f>B21+B22</f>
        <v>7110</v>
      </c>
    </row>
    <row r="24" spans="1:10" ht="15" customHeight="1" x14ac:dyDescent="0.2">
      <c r="A24" s="7" t="s">
        <v>924</v>
      </c>
      <c r="B24" s="50">
        <v>500</v>
      </c>
      <c r="J24" s="49" t="s">
        <v>925</v>
      </c>
    </row>
    <row r="25" spans="1:10" ht="15" customHeight="1" x14ac:dyDescent="0.2">
      <c r="A25" s="3" t="s">
        <v>1112</v>
      </c>
      <c r="B25" s="53">
        <f>B23*B24</f>
        <v>3555000</v>
      </c>
      <c r="J25" s="49" t="s">
        <v>926</v>
      </c>
    </row>
    <row r="27" spans="1:10" ht="15" customHeight="1" x14ac:dyDescent="0.2">
      <c r="A27" s="14" t="s">
        <v>1172</v>
      </c>
      <c r="B27" s="15"/>
      <c r="C27" s="15"/>
      <c r="D27" s="15"/>
      <c r="E27" s="15"/>
      <c r="F27" s="15"/>
    </row>
    <row r="28" spans="1:10" ht="15" customHeight="1" x14ac:dyDescent="0.2">
      <c r="A28" s="7" t="s">
        <v>927</v>
      </c>
      <c r="B28" s="52">
        <f>Source_Data!B174</f>
        <v>190182</v>
      </c>
    </row>
    <row r="29" spans="1:10" ht="15" customHeight="1" x14ac:dyDescent="0.2">
      <c r="A29" s="7" t="s">
        <v>928</v>
      </c>
      <c r="B29" s="90">
        <v>15</v>
      </c>
      <c r="J29" s="49" t="s">
        <v>929</v>
      </c>
    </row>
    <row r="30" spans="1:10" ht="15" customHeight="1" x14ac:dyDescent="0.2">
      <c r="A30" s="3" t="s">
        <v>930</v>
      </c>
      <c r="B30" s="53">
        <f>B28*B29</f>
        <v>2852730</v>
      </c>
      <c r="J30" s="49" t="s">
        <v>931</v>
      </c>
    </row>
    <row r="32" spans="1:10" ht="15" customHeight="1" x14ac:dyDescent="0.2">
      <c r="A32" s="14" t="s">
        <v>1173</v>
      </c>
      <c r="B32" s="15"/>
      <c r="C32" s="15"/>
      <c r="D32" s="15"/>
      <c r="E32" s="15"/>
      <c r="F32" s="15"/>
    </row>
    <row r="33" spans="1:10" ht="15" customHeight="1" x14ac:dyDescent="0.2">
      <c r="A33" s="7" t="s">
        <v>932</v>
      </c>
      <c r="B33" s="52">
        <f>Source_Data!B183</f>
        <v>12531656</v>
      </c>
    </row>
    <row r="34" spans="1:10" ht="15" customHeight="1" x14ac:dyDescent="0.2">
      <c r="A34" s="7" t="s">
        <v>933</v>
      </c>
      <c r="B34" s="64">
        <v>0</v>
      </c>
      <c r="J34" s="49" t="s">
        <v>934</v>
      </c>
    </row>
    <row r="35" spans="1:10" ht="15" customHeight="1" x14ac:dyDescent="0.2">
      <c r="A35" s="3" t="s">
        <v>935</v>
      </c>
      <c r="B35" s="51">
        <f>B33+B34</f>
        <v>12531656</v>
      </c>
    </row>
    <row r="36" spans="1:10" ht="15" customHeight="1" x14ac:dyDescent="0.2">
      <c r="A36" s="7" t="s">
        <v>936</v>
      </c>
      <c r="B36" s="52">
        <f>Source_Data!B195</f>
        <v>26770852</v>
      </c>
    </row>
    <row r="38" spans="1:10" ht="15" customHeight="1" x14ac:dyDescent="0.2">
      <c r="A38" s="14" t="s">
        <v>1174</v>
      </c>
      <c r="B38" s="15"/>
      <c r="C38" s="15"/>
      <c r="D38" s="15"/>
      <c r="E38" s="15"/>
      <c r="F38" s="15"/>
    </row>
    <row r="39" spans="1:10" ht="15" customHeight="1" x14ac:dyDescent="0.2">
      <c r="A39" s="7" t="s">
        <v>937</v>
      </c>
      <c r="B39" s="64">
        <f>B9</f>
        <v>77861472.727272734</v>
      </c>
    </row>
    <row r="40" spans="1:10" ht="15" customHeight="1" x14ac:dyDescent="0.2">
      <c r="A40" s="7" t="s">
        <v>938</v>
      </c>
      <c r="B40" s="64">
        <f>B18</f>
        <v>11970787.636363637</v>
      </c>
    </row>
    <row r="41" spans="1:10" ht="15" customHeight="1" x14ac:dyDescent="0.2">
      <c r="A41" s="7" t="s">
        <v>939</v>
      </c>
      <c r="B41" s="64">
        <f>B25</f>
        <v>3555000</v>
      </c>
    </row>
    <row r="42" spans="1:10" ht="15" customHeight="1" x14ac:dyDescent="0.2">
      <c r="A42" s="7" t="s">
        <v>940</v>
      </c>
      <c r="B42" s="64">
        <f>B30</f>
        <v>2852730</v>
      </c>
    </row>
    <row r="43" spans="1:10" ht="15" customHeight="1" x14ac:dyDescent="0.2">
      <c r="A43" s="7" t="s">
        <v>941</v>
      </c>
      <c r="B43" s="64">
        <f>B35</f>
        <v>12531656</v>
      </c>
    </row>
    <row r="44" spans="1:10" ht="15" customHeight="1" x14ac:dyDescent="0.2">
      <c r="A44" s="3" t="s">
        <v>942</v>
      </c>
      <c r="B44" s="51">
        <f>B39+B40+B41+B42+B43</f>
        <v>108771646.36363637</v>
      </c>
    </row>
    <row r="45" spans="1:10" ht="15" customHeight="1" x14ac:dyDescent="0.2">
      <c r="A45" s="7" t="s">
        <v>943</v>
      </c>
      <c r="B45" s="64">
        <f>B36</f>
        <v>26770852</v>
      </c>
    </row>
    <row r="46" spans="1:10" ht="15" customHeight="1" x14ac:dyDescent="0.2">
      <c r="A46" s="3" t="s">
        <v>944</v>
      </c>
      <c r="B46" s="51">
        <f>B44-B45</f>
        <v>82000794.363636374</v>
      </c>
    </row>
    <row r="47" spans="1:10" ht="15" customHeight="1" x14ac:dyDescent="0.2">
      <c r="A47" s="7" t="s">
        <v>945</v>
      </c>
      <c r="B47" s="85">
        <f>Capital!C55</f>
        <v>376675</v>
      </c>
    </row>
    <row r="48" spans="1:10" ht="15" customHeight="1" x14ac:dyDescent="0.2">
      <c r="A48" s="3" t="s">
        <v>946</v>
      </c>
      <c r="B48" s="111">
        <f>B46/B47</f>
        <v>217.69640768205051</v>
      </c>
    </row>
    <row r="49" spans="1:6" ht="15" customHeight="1" x14ac:dyDescent="0.2">
      <c r="A49" s="7" t="s">
        <v>905</v>
      </c>
      <c r="B49" s="80">
        <f>DCF!B18</f>
        <v>184.26</v>
      </c>
    </row>
    <row r="50" spans="1:6" ht="15" customHeight="1" x14ac:dyDescent="0.2">
      <c r="A50" s="7" t="s">
        <v>947</v>
      </c>
      <c r="B50" s="75">
        <f>B49/B48-1</f>
        <v>-0.1535919128756823</v>
      </c>
    </row>
    <row r="52" spans="1:6" ht="15" customHeight="1" x14ac:dyDescent="0.2">
      <c r="A52" s="3" t="s">
        <v>948</v>
      </c>
      <c r="B52" s="77">
        <f>(B44-B41-B45)/B47</f>
        <v>208.25856338657033</v>
      </c>
    </row>
    <row r="54" spans="1:6" ht="15" customHeight="1" x14ac:dyDescent="0.2">
      <c r="A54" s="14" t="s">
        <v>1175</v>
      </c>
      <c r="B54" s="15"/>
      <c r="C54" s="15"/>
      <c r="D54" s="15"/>
      <c r="E54" s="15"/>
      <c r="F54" s="15"/>
    </row>
    <row r="55" spans="1:6" ht="15" customHeight="1" x14ac:dyDescent="0.2">
      <c r="A55" s="8" t="s">
        <v>949</v>
      </c>
      <c r="B55" s="96">
        <v>0</v>
      </c>
      <c r="C55" s="96">
        <v>500</v>
      </c>
      <c r="D55" s="96">
        <v>1000</v>
      </c>
      <c r="E55" s="96">
        <v>1500</v>
      </c>
    </row>
    <row r="56" spans="1:6" ht="15" customHeight="1" x14ac:dyDescent="0.2">
      <c r="A56" s="93">
        <v>0.05</v>
      </c>
      <c r="B56" s="80">
        <f>($B$7/$A56 + ($B$14*$B$15/$A56 - $B$14) + $B$23*B$55 + $B$28*$B$29 + $B$35 - $B$36)/$B$47</f>
        <v>235.02048875024886</v>
      </c>
      <c r="C56" s="80">
        <f t="shared" ref="C56:E59" si="0">($B$7/$A56 + ($B$14*$B$15/$A56 - $B$14) + $B$23*C$55 + $B$28*$B$29 + $B$35 - $B$36)/$B$47</f>
        <v>244.45833304572906</v>
      </c>
      <c r="D56" s="80">
        <f t="shared" si="0"/>
        <v>253.89617734120924</v>
      </c>
      <c r="E56" s="80">
        <f t="shared" si="0"/>
        <v>263.33402163668944</v>
      </c>
    </row>
    <row r="57" spans="1:6" ht="15" customHeight="1" x14ac:dyDescent="0.2">
      <c r="A57" s="93">
        <v>5.5E-2</v>
      </c>
      <c r="B57" s="80">
        <f t="shared" ref="B57:B59" si="1">($B$7/$A57 + ($B$14*$B$15/$A57 - $B$14) + $B$23*B$55 + $B$28*$B$29 + $B$35 - $B$36)/$B$47</f>
        <v>208.25856338657033</v>
      </c>
      <c r="C57" s="112">
        <f t="shared" si="0"/>
        <v>217.69640768205051</v>
      </c>
      <c r="D57" s="80">
        <f t="shared" si="0"/>
        <v>227.13425197753068</v>
      </c>
      <c r="E57" s="80">
        <f t="shared" si="0"/>
        <v>236.57209627301089</v>
      </c>
    </row>
    <row r="58" spans="1:6" ht="15" customHeight="1" x14ac:dyDescent="0.2">
      <c r="A58" s="93">
        <v>0.06</v>
      </c>
      <c r="B58" s="80">
        <f t="shared" si="1"/>
        <v>185.95695891683812</v>
      </c>
      <c r="C58" s="80">
        <f t="shared" si="0"/>
        <v>195.39480321231832</v>
      </c>
      <c r="D58" s="80">
        <f t="shared" si="0"/>
        <v>204.8326475077985</v>
      </c>
      <c r="E58" s="80">
        <f t="shared" si="0"/>
        <v>214.2704918032787</v>
      </c>
    </row>
    <row r="59" spans="1:6" ht="15" customHeight="1" x14ac:dyDescent="0.2">
      <c r="A59" s="93">
        <v>6.5000000000000002E-2</v>
      </c>
      <c r="B59" s="80">
        <f t="shared" si="1"/>
        <v>167.08637051937242</v>
      </c>
      <c r="C59" s="80">
        <f t="shared" si="0"/>
        <v>176.52421481485263</v>
      </c>
      <c r="D59" s="80">
        <f t="shared" si="0"/>
        <v>185.9620591103328</v>
      </c>
      <c r="E59" s="80">
        <f t="shared" si="0"/>
        <v>195.39990340581298</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sheetPr>
  <dimension ref="A1:N80"/>
  <sheetViews>
    <sheetView showGridLines="0" zoomScale="180" zoomScaleNormal="130" workbookViewId="0">
      <selection activeCell="A13" sqref="A13"/>
    </sheetView>
  </sheetViews>
  <sheetFormatPr baseColWidth="10" defaultColWidth="8.6640625" defaultRowHeight="15" x14ac:dyDescent="0.2"/>
  <cols>
    <col min="1" max="1" width="46" customWidth="1"/>
    <col min="2" max="12" width="14" customWidth="1"/>
    <col min="14" max="14" width="54" customWidth="1"/>
  </cols>
  <sheetData>
    <row r="1" spans="1:14" ht="15.75" customHeight="1" x14ac:dyDescent="0.2">
      <c r="A1" s="1" t="s">
        <v>1198</v>
      </c>
    </row>
    <row r="2" spans="1:14" ht="15" customHeight="1" x14ac:dyDescent="0.2">
      <c r="A2" s="2" t="s">
        <v>853</v>
      </c>
    </row>
    <row r="4" spans="1:14" ht="15" customHeight="1" x14ac:dyDescent="0.2">
      <c r="A4" s="14" t="s">
        <v>1160</v>
      </c>
      <c r="B4" s="15"/>
      <c r="C4" s="15"/>
      <c r="D4" s="15"/>
      <c r="E4" s="15"/>
      <c r="F4" s="15"/>
    </row>
    <row r="5" spans="1:14" ht="15" customHeight="1" x14ac:dyDescent="0.2">
      <c r="A5" s="7" t="s">
        <v>854</v>
      </c>
      <c r="B5" s="61">
        <v>4.5999999999999999E-2</v>
      </c>
      <c r="N5" s="49" t="s">
        <v>1161</v>
      </c>
    </row>
    <row r="6" spans="1:14" ht="15" customHeight="1" x14ac:dyDescent="0.2">
      <c r="A6" s="7" t="s">
        <v>855</v>
      </c>
      <c r="B6" s="61">
        <v>0.05</v>
      </c>
    </row>
    <row r="7" spans="1:14" ht="15" customHeight="1" x14ac:dyDescent="0.2">
      <c r="A7" s="7" t="s">
        <v>856</v>
      </c>
      <c r="B7" s="82">
        <v>0.85</v>
      </c>
      <c r="N7" s="49" t="s">
        <v>857</v>
      </c>
    </row>
    <row r="8" spans="1:14" ht="15" customHeight="1" x14ac:dyDescent="0.2">
      <c r="A8" s="3" t="s">
        <v>858</v>
      </c>
      <c r="B8" s="62">
        <f>B5+B7*B6</f>
        <v>8.8499999999999995E-2</v>
      </c>
    </row>
    <row r="10" spans="1:14" ht="15" customHeight="1" x14ac:dyDescent="0.2">
      <c r="A10" s="7" t="s">
        <v>859</v>
      </c>
      <c r="B10" s="61">
        <v>0.05</v>
      </c>
    </row>
    <row r="11" spans="1:14" ht="15" customHeight="1" x14ac:dyDescent="0.2">
      <c r="A11" s="7" t="s">
        <v>860</v>
      </c>
      <c r="B11" s="61">
        <v>0.05</v>
      </c>
      <c r="N11" s="49" t="s">
        <v>861</v>
      </c>
    </row>
    <row r="12" spans="1:14" ht="15" customHeight="1" x14ac:dyDescent="0.2">
      <c r="A12" s="7" t="s">
        <v>862</v>
      </c>
      <c r="B12" s="83">
        <f>B10*(1-B11)</f>
        <v>4.7500000000000001E-2</v>
      </c>
    </row>
    <row r="13" spans="1:14" ht="15" customHeight="1" x14ac:dyDescent="0.2">
      <c r="A13" s="7" t="s">
        <v>863</v>
      </c>
      <c r="B13" s="61">
        <v>5.3999999999999999E-2</v>
      </c>
    </row>
    <row r="15" spans="1:14" ht="15" customHeight="1" x14ac:dyDescent="0.2">
      <c r="A15" s="7" t="s">
        <v>864</v>
      </c>
      <c r="B15" s="64">
        <f>B17*B18</f>
        <v>69406135.5</v>
      </c>
    </row>
    <row r="16" spans="1:14" ht="15" customHeight="1" x14ac:dyDescent="0.2">
      <c r="A16" s="7" t="s">
        <v>865</v>
      </c>
      <c r="B16" s="84">
        <v>376675</v>
      </c>
    </row>
    <row r="17" spans="1:14" ht="15" customHeight="1" x14ac:dyDescent="0.2">
      <c r="A17" s="7" t="s">
        <v>866</v>
      </c>
      <c r="B17" s="85">
        <f>B16</f>
        <v>376675</v>
      </c>
    </row>
    <row r="18" spans="1:14" ht="15" customHeight="1" x14ac:dyDescent="0.2">
      <c r="A18" s="7" t="s">
        <v>867</v>
      </c>
      <c r="B18" s="86">
        <v>184.26</v>
      </c>
    </row>
    <row r="19" spans="1:14" ht="15" customHeight="1" x14ac:dyDescent="0.2">
      <c r="A19" s="7" t="s">
        <v>868</v>
      </c>
      <c r="B19" s="52">
        <f>Capital!C10</f>
        <v>18635349</v>
      </c>
    </row>
    <row r="20" spans="1:14" ht="15" customHeight="1" x14ac:dyDescent="0.2">
      <c r="A20" s="7" t="s">
        <v>869</v>
      </c>
      <c r="B20" s="50">
        <v>755000</v>
      </c>
    </row>
    <row r="21" spans="1:14" ht="15" customHeight="1" x14ac:dyDescent="0.2">
      <c r="A21" s="3" t="s">
        <v>870</v>
      </c>
      <c r="B21" s="51">
        <f>B15+B19+B20</f>
        <v>88796484.5</v>
      </c>
    </row>
    <row r="23" spans="1:14" ht="15" customHeight="1" x14ac:dyDescent="0.2">
      <c r="A23" s="7" t="s">
        <v>871</v>
      </c>
      <c r="B23" s="75">
        <f>B15/B21</f>
        <v>0.78163156898401764</v>
      </c>
    </row>
    <row r="24" spans="1:14" ht="15" customHeight="1" x14ac:dyDescent="0.2">
      <c r="A24" s="7" t="s">
        <v>872</v>
      </c>
      <c r="B24" s="75">
        <f>B19/B21</f>
        <v>0.20986584215504614</v>
      </c>
    </row>
    <row r="25" spans="1:14" ht="15" customHeight="1" x14ac:dyDescent="0.2">
      <c r="A25" s="7" t="s">
        <v>873</v>
      </c>
      <c r="B25" s="75">
        <f>B20/B21</f>
        <v>8.5025888609362686E-3</v>
      </c>
    </row>
    <row r="26" spans="1:14" ht="15" customHeight="1" x14ac:dyDescent="0.2">
      <c r="A26" s="3" t="s">
        <v>266</v>
      </c>
      <c r="B26" s="87">
        <f>B23*B8+B24*B12+B25*B13</f>
        <v>7.9602161155940807E-2</v>
      </c>
      <c r="N26" s="49" t="s">
        <v>874</v>
      </c>
    </row>
    <row r="28" spans="1:14" ht="15" customHeight="1" x14ac:dyDescent="0.2">
      <c r="A28" s="14" t="s">
        <v>1162</v>
      </c>
      <c r="B28" s="15"/>
      <c r="C28" s="15"/>
      <c r="D28" s="15"/>
      <c r="E28" s="15"/>
      <c r="F28" s="15"/>
      <c r="G28" s="15"/>
      <c r="H28" s="15"/>
      <c r="I28" s="15"/>
      <c r="J28" s="15"/>
      <c r="K28" s="15"/>
      <c r="L28" s="15"/>
    </row>
    <row r="29" spans="1:14" ht="15" customHeight="1" x14ac:dyDescent="0.2">
      <c r="A29" s="8" t="s">
        <v>875</v>
      </c>
      <c r="C29" s="13" t="s">
        <v>609</v>
      </c>
      <c r="D29" s="13" t="s">
        <v>610</v>
      </c>
      <c r="E29" s="13" t="s">
        <v>611</v>
      </c>
      <c r="F29" s="13" t="s">
        <v>612</v>
      </c>
      <c r="G29" s="13" t="s">
        <v>1185</v>
      </c>
      <c r="H29" s="13" t="s">
        <v>1186</v>
      </c>
      <c r="I29" s="13" t="s">
        <v>1187</v>
      </c>
      <c r="J29" s="13" t="s">
        <v>1188</v>
      </c>
      <c r="K29" s="13" t="s">
        <v>1189</v>
      </c>
      <c r="L29" s="13" t="s">
        <v>1190</v>
      </c>
    </row>
    <row r="30" spans="1:14" ht="15" customHeight="1" x14ac:dyDescent="0.2">
      <c r="A30" s="7" t="s">
        <v>876</v>
      </c>
      <c r="C30" s="52">
        <f>Opex_NOI!K45</f>
        <v>4324704.0044457801</v>
      </c>
      <c r="D30" s="52">
        <f>Opex_NOI!L45</f>
        <v>5004124.8516290616</v>
      </c>
      <c r="E30" s="52">
        <f>Opex_NOI!M45</f>
        <v>5504661.2548418362</v>
      </c>
      <c r="F30" s="52">
        <f>Opex_NOI!N45</f>
        <v>5935784.4156127023</v>
      </c>
      <c r="G30" s="52">
        <f>F30*(1+G37)</f>
        <v>6351289.3247055914</v>
      </c>
      <c r="H30" s="52">
        <f t="shared" ref="H30:L30" si="0">G30*(1+H37)</f>
        <v>6732366.6841879273</v>
      </c>
      <c r="I30" s="52">
        <f t="shared" si="0"/>
        <v>7102646.8518182626</v>
      </c>
      <c r="J30" s="52">
        <f t="shared" si="0"/>
        <v>7457779.1944091758</v>
      </c>
      <c r="K30" s="52">
        <f t="shared" si="0"/>
        <v>7793379.2581575885</v>
      </c>
      <c r="L30" s="52">
        <f t="shared" si="0"/>
        <v>8105114.4284838922</v>
      </c>
    </row>
    <row r="31" spans="1:14" ht="15" customHeight="1" x14ac:dyDescent="0.2">
      <c r="A31" s="7" t="s">
        <v>727</v>
      </c>
      <c r="C31" s="52">
        <f>Capital!K20</f>
        <v>188000</v>
      </c>
      <c r="D31" s="52">
        <f>Capital!L20</f>
        <v>200000</v>
      </c>
      <c r="E31" s="52">
        <f>Capital!M20</f>
        <v>215000</v>
      </c>
      <c r="F31" s="52">
        <f>Capital!N20</f>
        <v>230000</v>
      </c>
      <c r="G31" s="52">
        <f>G30*0.039</f>
        <v>247700.28366351806</v>
      </c>
      <c r="H31" s="52">
        <f t="shared" ref="H31:L31" si="1">H30*0.039</f>
        <v>262562.30068332917</v>
      </c>
      <c r="I31" s="52">
        <f t="shared" si="1"/>
        <v>277003.22722091223</v>
      </c>
      <c r="J31" s="52">
        <f t="shared" si="1"/>
        <v>290853.38858195784</v>
      </c>
      <c r="K31" s="52">
        <f t="shared" si="1"/>
        <v>303941.79106814595</v>
      </c>
      <c r="L31" s="52">
        <f t="shared" si="1"/>
        <v>316099.46271087177</v>
      </c>
    </row>
    <row r="32" spans="1:14" ht="15" customHeight="1" x14ac:dyDescent="0.2">
      <c r="A32" s="7" t="s">
        <v>877</v>
      </c>
      <c r="C32" s="52">
        <f>Capital!K28</f>
        <v>4800000</v>
      </c>
      <c r="D32" s="52">
        <f>Capital!L28</f>
        <v>4500000</v>
      </c>
      <c r="E32" s="52">
        <f>Capital!M28</f>
        <v>4200000</v>
      </c>
      <c r="F32" s="52">
        <f>Capital!N28</f>
        <v>4000000</v>
      </c>
      <c r="G32" s="109">
        <v>3600000</v>
      </c>
      <c r="H32" s="109">
        <v>3200000</v>
      </c>
      <c r="I32" s="109">
        <v>2800000</v>
      </c>
      <c r="J32" s="109">
        <v>2500000</v>
      </c>
      <c r="K32" s="109">
        <v>2300000</v>
      </c>
      <c r="L32" s="109">
        <v>2200000</v>
      </c>
      <c r="N32" s="49" t="s">
        <v>878</v>
      </c>
    </row>
    <row r="33" spans="1:14" ht="15" customHeight="1" x14ac:dyDescent="0.2">
      <c r="A33" s="7" t="s">
        <v>879</v>
      </c>
      <c r="C33" s="52">
        <f>Capital!K29</f>
        <v>450000</v>
      </c>
      <c r="D33" s="52">
        <f>Capital!L29</f>
        <v>500000</v>
      </c>
      <c r="E33" s="52">
        <f>Capital!M29</f>
        <v>540000</v>
      </c>
      <c r="F33" s="52">
        <f>Capital!N29</f>
        <v>580000</v>
      </c>
      <c r="G33" s="109">
        <v>620000</v>
      </c>
      <c r="H33" s="109">
        <v>665000</v>
      </c>
      <c r="I33" s="109">
        <v>710000</v>
      </c>
      <c r="J33" s="109">
        <v>760000</v>
      </c>
      <c r="K33" s="109">
        <v>810000</v>
      </c>
      <c r="L33" s="109">
        <v>865000</v>
      </c>
    </row>
    <row r="34" spans="1:14" ht="15" customHeight="1" x14ac:dyDescent="0.2">
      <c r="A34" s="7" t="s">
        <v>880</v>
      </c>
      <c r="C34" s="52">
        <f>Capital!K30</f>
        <v>32000</v>
      </c>
      <c r="D34" s="52">
        <f>Capital!L30</f>
        <v>32000</v>
      </c>
      <c r="E34" s="52">
        <f>Capital!M30</f>
        <v>32000</v>
      </c>
      <c r="F34" s="52">
        <f>Capital!N30</f>
        <v>32000</v>
      </c>
      <c r="G34" s="52">
        <v>32000</v>
      </c>
      <c r="H34" s="52">
        <v>32000</v>
      </c>
      <c r="I34" s="52">
        <v>32000</v>
      </c>
      <c r="J34" s="52">
        <v>32000</v>
      </c>
      <c r="K34" s="52">
        <v>32000</v>
      </c>
      <c r="L34" s="52">
        <v>32000</v>
      </c>
    </row>
    <row r="35" spans="1:14" ht="15" customHeight="1" x14ac:dyDescent="0.2">
      <c r="A35" s="7" t="s">
        <v>881</v>
      </c>
      <c r="C35" s="52">
        <f>Capital!K34</f>
        <v>1000000</v>
      </c>
      <c r="D35" s="52">
        <f>Capital!L34</f>
        <v>1000000</v>
      </c>
      <c r="E35" s="52">
        <f>Capital!M34</f>
        <v>1000000</v>
      </c>
      <c r="F35" s="52">
        <f>Capital!N34</f>
        <v>1000000</v>
      </c>
      <c r="G35" s="52">
        <v>1000000</v>
      </c>
      <c r="H35" s="52">
        <v>1000000</v>
      </c>
      <c r="I35" s="52">
        <v>1000000</v>
      </c>
      <c r="J35" s="52">
        <v>1000000</v>
      </c>
      <c r="K35" s="52">
        <v>1000000</v>
      </c>
      <c r="L35" s="52">
        <v>1000000</v>
      </c>
    </row>
    <row r="36" spans="1:14" ht="15" customHeight="1" x14ac:dyDescent="0.2">
      <c r="A36" s="3" t="s">
        <v>882</v>
      </c>
      <c r="C36" s="53">
        <f>C30-C31-C32-C33-C34+C35</f>
        <v>-145295.99555421993</v>
      </c>
      <c r="D36" s="53">
        <f>D30-D31-D32-D33-D34+D35</f>
        <v>772124.85162906162</v>
      </c>
      <c r="E36" s="53">
        <f>E30-E31-E32-E33-E34+E35</f>
        <v>1517661.2548418362</v>
      </c>
      <c r="F36" s="53">
        <f>F30-F31-F32-F33-F34+F35</f>
        <v>2093784.4156127023</v>
      </c>
      <c r="G36" s="53">
        <f t="shared" ref="G36:L36" si="2">G30-G31-G32-G33-G34+G35</f>
        <v>2851589.0410420736</v>
      </c>
      <c r="H36" s="53">
        <f t="shared" si="2"/>
        <v>3572804.3835045984</v>
      </c>
      <c r="I36" s="53">
        <f t="shared" si="2"/>
        <v>4283643.6245973501</v>
      </c>
      <c r="J36" s="53">
        <f t="shared" si="2"/>
        <v>4874925.8058272181</v>
      </c>
      <c r="K36" s="53">
        <f t="shared" si="2"/>
        <v>5347437.4670894425</v>
      </c>
      <c r="L36" s="53">
        <f t="shared" si="2"/>
        <v>5692014.9657730209</v>
      </c>
      <c r="N36" s="49" t="s">
        <v>1163</v>
      </c>
    </row>
    <row r="37" spans="1:14" x14ac:dyDescent="0.2">
      <c r="A37" s="7" t="s">
        <v>1191</v>
      </c>
      <c r="G37" s="107">
        <v>7.0000000000000007E-2</v>
      </c>
      <c r="H37" s="107">
        <v>0.06</v>
      </c>
      <c r="I37" s="107">
        <v>5.5E-2</v>
      </c>
      <c r="J37" s="107">
        <v>0.05</v>
      </c>
      <c r="K37" s="107">
        <v>4.4999999999999998E-2</v>
      </c>
      <c r="L37" s="107">
        <v>0.04</v>
      </c>
    </row>
    <row r="38" spans="1:14" ht="15" customHeight="1" x14ac:dyDescent="0.2">
      <c r="A38" s="7" t="s">
        <v>883</v>
      </c>
      <c r="C38" s="88">
        <v>0.5</v>
      </c>
      <c r="D38" s="88">
        <v>1.5</v>
      </c>
      <c r="E38" s="88">
        <v>2.5</v>
      </c>
      <c r="F38" s="88">
        <v>3.5</v>
      </c>
      <c r="G38" s="108">
        <f>F38+1</f>
        <v>4.5</v>
      </c>
      <c r="H38" s="108">
        <f t="shared" ref="H38:L38" si="3">G38+1</f>
        <v>5.5</v>
      </c>
      <c r="I38" s="108">
        <f t="shared" si="3"/>
        <v>6.5</v>
      </c>
      <c r="J38" s="108">
        <f t="shared" si="3"/>
        <v>7.5</v>
      </c>
      <c r="K38" s="108">
        <f t="shared" si="3"/>
        <v>8.5</v>
      </c>
      <c r="L38" s="108">
        <f t="shared" si="3"/>
        <v>9.5</v>
      </c>
    </row>
    <row r="39" spans="1:14" ht="15" customHeight="1" x14ac:dyDescent="0.2">
      <c r="A39" s="7" t="s">
        <v>884</v>
      </c>
      <c r="C39" s="89">
        <f>1/(1+$B$26)^C38</f>
        <v>0.96242772939159049</v>
      </c>
      <c r="D39" s="89">
        <f>1/(1+$B$26)^D38</f>
        <v>0.89146517487618726</v>
      </c>
      <c r="E39" s="89">
        <f>1/(1+$B$26)^E38</f>
        <v>0.82573489286246593</v>
      </c>
      <c r="F39" s="89">
        <f>1/(1+$B$26)^F38</f>
        <v>0.76485109290476339</v>
      </c>
      <c r="G39" s="89">
        <f t="shared" ref="G39:L39" si="4">1/(1+$B$26)^G38</f>
        <v>0.70845642999253511</v>
      </c>
      <c r="H39" s="89">
        <f t="shared" si="4"/>
        <v>0.65621990718690648</v>
      </c>
      <c r="I39" s="89">
        <f t="shared" si="4"/>
        <v>0.60783493290184354</v>
      </c>
      <c r="J39" s="89">
        <f t="shared" si="4"/>
        <v>0.56301752142754946</v>
      </c>
      <c r="K39" s="89">
        <f t="shared" si="4"/>
        <v>0.52150462613442805</v>
      </c>
      <c r="L39" s="89">
        <f t="shared" si="4"/>
        <v>0.48305259557469565</v>
      </c>
    </row>
    <row r="40" spans="1:14" ht="15" customHeight="1" x14ac:dyDescent="0.2">
      <c r="A40" s="3" t="s">
        <v>885</v>
      </c>
      <c r="C40" s="51">
        <f>C36*C39</f>
        <v>-139836.89509093852</v>
      </c>
      <c r="D40" s="51">
        <f>D36*D39</f>
        <v>688322.41588375159</v>
      </c>
      <c r="E40" s="51">
        <f>E36*E39</f>
        <v>1253185.8536683391</v>
      </c>
      <c r="F40" s="51">
        <f>F36*F39</f>
        <v>1601433.2985883367</v>
      </c>
      <c r="G40" s="51">
        <f t="shared" ref="G40:L40" si="5">G36*G39</f>
        <v>2020226.5918225041</v>
      </c>
      <c r="H40" s="51">
        <f t="shared" si="5"/>
        <v>2344545.36094036</v>
      </c>
      <c r="I40" s="51">
        <f t="shared" si="5"/>
        <v>2603748.2351325401</v>
      </c>
      <c r="J40" s="51">
        <f t="shared" si="5"/>
        <v>2744668.6443400397</v>
      </c>
      <c r="K40" s="51">
        <f t="shared" si="5"/>
        <v>2788713.3770517125</v>
      </c>
      <c r="L40" s="51">
        <f t="shared" si="5"/>
        <v>2749542.6032666704</v>
      </c>
    </row>
    <row r="42" spans="1:14" ht="15" customHeight="1" x14ac:dyDescent="0.2">
      <c r="A42" s="14" t="s">
        <v>1164</v>
      </c>
      <c r="B42" s="15"/>
      <c r="C42" s="15"/>
      <c r="D42" s="15"/>
      <c r="E42" s="15"/>
      <c r="F42" s="15"/>
    </row>
    <row r="43" spans="1:14" ht="15" customHeight="1" x14ac:dyDescent="0.2">
      <c r="A43" s="3" t="s">
        <v>1165</v>
      </c>
    </row>
    <row r="44" spans="1:14" ht="15" customHeight="1" x14ac:dyDescent="0.2">
      <c r="A44" s="7" t="s">
        <v>886</v>
      </c>
      <c r="B44" s="64">
        <f>L30</f>
        <v>8105114.4284838922</v>
      </c>
    </row>
    <row r="45" spans="1:14" ht="15" customHeight="1" x14ac:dyDescent="0.2">
      <c r="A45" s="7" t="s">
        <v>887</v>
      </c>
      <c r="B45" s="90">
        <v>23</v>
      </c>
      <c r="N45" s="49" t="s">
        <v>888</v>
      </c>
    </row>
    <row r="46" spans="1:14" ht="15" customHeight="1" x14ac:dyDescent="0.2">
      <c r="A46" s="7" t="s">
        <v>889</v>
      </c>
      <c r="B46" s="64">
        <f>B44*B45</f>
        <v>186417631.85512951</v>
      </c>
    </row>
    <row r="47" spans="1:14" ht="15" customHeight="1" x14ac:dyDescent="0.2">
      <c r="A47" s="7" t="s">
        <v>890</v>
      </c>
      <c r="B47" s="89">
        <f>1/(1+B26)^10</f>
        <v>0.46490321273566837</v>
      </c>
    </row>
    <row r="48" spans="1:14" ht="15" customHeight="1" x14ac:dyDescent="0.2">
      <c r="A48" s="3" t="s">
        <v>891</v>
      </c>
      <c r="B48" s="51">
        <f>B46*B47</f>
        <v>86666155.960024789</v>
      </c>
    </row>
    <row r="50" spans="1:14" ht="15" customHeight="1" x14ac:dyDescent="0.2">
      <c r="A50" s="3" t="s">
        <v>1166</v>
      </c>
    </row>
    <row r="51" spans="1:14" ht="15" customHeight="1" x14ac:dyDescent="0.2">
      <c r="A51" s="7" t="s">
        <v>886</v>
      </c>
      <c r="B51" s="64">
        <f>L30</f>
        <v>8105114.4284838922</v>
      </c>
    </row>
    <row r="52" spans="1:14" ht="15" customHeight="1" x14ac:dyDescent="0.2">
      <c r="A52" s="7" t="s">
        <v>727</v>
      </c>
      <c r="B52" s="64">
        <f>L31</f>
        <v>316099.46271087177</v>
      </c>
    </row>
    <row r="53" spans="1:14" ht="15" customHeight="1" x14ac:dyDescent="0.2">
      <c r="A53" s="7" t="s">
        <v>892</v>
      </c>
      <c r="B53" s="64">
        <f>L33</f>
        <v>865000</v>
      </c>
      <c r="N53" s="49" t="s">
        <v>893</v>
      </c>
    </row>
    <row r="54" spans="1:14" ht="15" customHeight="1" x14ac:dyDescent="0.2">
      <c r="A54" s="3" t="s">
        <v>894</v>
      </c>
      <c r="B54" s="51">
        <f>B51-B52-B53</f>
        <v>6924014.9657730209</v>
      </c>
    </row>
    <row r="55" spans="1:14" ht="15" customHeight="1" x14ac:dyDescent="0.2">
      <c r="A55" s="7" t="s">
        <v>895</v>
      </c>
      <c r="B55" s="61">
        <v>0.03</v>
      </c>
    </row>
    <row r="56" spans="1:14" ht="15" customHeight="1" x14ac:dyDescent="0.2">
      <c r="A56" s="7" t="s">
        <v>889</v>
      </c>
      <c r="B56" s="64">
        <f>B54*(1+B55)/(B26-B55)</f>
        <v>143778723.51822013</v>
      </c>
    </row>
    <row r="57" spans="1:14" ht="15" customHeight="1" x14ac:dyDescent="0.2">
      <c r="A57" s="3" t="s">
        <v>896</v>
      </c>
      <c r="B57" s="51">
        <f>B56*B47</f>
        <v>66843190.486653939</v>
      </c>
    </row>
    <row r="58" spans="1:14" ht="15" customHeight="1" x14ac:dyDescent="0.2">
      <c r="A58" s="7" t="s">
        <v>897</v>
      </c>
      <c r="B58" s="91">
        <f>B56/B51</f>
        <v>17.739258931735371</v>
      </c>
      <c r="N58" s="49" t="s">
        <v>898</v>
      </c>
    </row>
    <row r="60" spans="1:14" ht="15" customHeight="1" x14ac:dyDescent="0.2">
      <c r="A60" s="14" t="s">
        <v>1184</v>
      </c>
      <c r="B60" s="15"/>
      <c r="C60" s="15"/>
      <c r="D60" s="15"/>
      <c r="E60" s="15"/>
      <c r="F60" s="15"/>
    </row>
    <row r="61" spans="1:14" ht="15" customHeight="1" x14ac:dyDescent="0.2">
      <c r="A61" s="7" t="s">
        <v>899</v>
      </c>
      <c r="B61" s="64">
        <f>SUM(C40:L40)</f>
        <v>18654549.485603318</v>
      </c>
    </row>
    <row r="62" spans="1:14" ht="15" customHeight="1" x14ac:dyDescent="0.2">
      <c r="A62" s="7" t="s">
        <v>891</v>
      </c>
      <c r="B62" s="64">
        <f>B48</f>
        <v>86666155.960024789</v>
      </c>
    </row>
    <row r="63" spans="1:14" ht="15" customHeight="1" x14ac:dyDescent="0.2">
      <c r="A63" s="3" t="s">
        <v>900</v>
      </c>
      <c r="B63" s="51">
        <f>B61+B62</f>
        <v>105320705.44562811</v>
      </c>
    </row>
    <row r="64" spans="1:14" ht="15" customHeight="1" x14ac:dyDescent="0.2">
      <c r="A64" s="7" t="s">
        <v>901</v>
      </c>
      <c r="B64" s="64">
        <f>Capital!E48</f>
        <v>19309719.268490858</v>
      </c>
    </row>
    <row r="65" spans="1:6" ht="15" customHeight="1" x14ac:dyDescent="0.2">
      <c r="A65" s="7" t="s">
        <v>902</v>
      </c>
      <c r="B65" s="64">
        <f>B20</f>
        <v>755000</v>
      </c>
    </row>
    <row r="66" spans="1:6" ht="15" customHeight="1" x14ac:dyDescent="0.2">
      <c r="A66" s="3" t="s">
        <v>903</v>
      </c>
      <c r="B66" s="51">
        <f>B63-B64-B65</f>
        <v>85255986.177137256</v>
      </c>
    </row>
    <row r="67" spans="1:6" ht="15" customHeight="1" x14ac:dyDescent="0.2">
      <c r="A67" s="7" t="s">
        <v>904</v>
      </c>
      <c r="B67" s="85">
        <f>Capital!E55</f>
        <v>378675</v>
      </c>
    </row>
    <row r="68" spans="1:6" ht="15" customHeight="1" x14ac:dyDescent="0.2">
      <c r="A68" s="3" t="s">
        <v>1181</v>
      </c>
      <c r="B68" s="94">
        <f>B66/B67</f>
        <v>225.14289609067737</v>
      </c>
    </row>
    <row r="69" spans="1:6" ht="15" customHeight="1" x14ac:dyDescent="0.2">
      <c r="A69" s="7" t="s">
        <v>905</v>
      </c>
      <c r="B69" s="80">
        <f>B18</f>
        <v>184.26</v>
      </c>
    </row>
    <row r="70" spans="1:6" ht="15" customHeight="1" x14ac:dyDescent="0.2">
      <c r="A70" s="7" t="s">
        <v>906</v>
      </c>
      <c r="B70" s="75">
        <f>B68/B69-1</f>
        <v>0.22187613204535639</v>
      </c>
    </row>
    <row r="72" spans="1:6" ht="15" customHeight="1" x14ac:dyDescent="0.2">
      <c r="A72" s="3" t="s">
        <v>1182</v>
      </c>
      <c r="B72" s="106">
        <f>(B61+B57-B64-B65)/B67</f>
        <v>172.79466746884901</v>
      </c>
    </row>
    <row r="73" spans="1:6" ht="15" customHeight="1" x14ac:dyDescent="0.2">
      <c r="A73" s="49" t="s">
        <v>1183</v>
      </c>
    </row>
    <row r="74" spans="1:6" ht="15" customHeight="1" x14ac:dyDescent="0.2">
      <c r="A74" s="14" t="s">
        <v>1167</v>
      </c>
      <c r="B74" s="15"/>
      <c r="C74" s="15"/>
      <c r="D74" s="15"/>
      <c r="E74" s="15"/>
      <c r="F74" s="15"/>
    </row>
    <row r="75" spans="1:6" ht="15" customHeight="1" x14ac:dyDescent="0.2">
      <c r="A75" s="8" t="s">
        <v>907</v>
      </c>
      <c r="B75" s="92">
        <v>19</v>
      </c>
      <c r="C75" s="92">
        <v>21</v>
      </c>
      <c r="D75" s="92">
        <v>23</v>
      </c>
      <c r="E75" s="92">
        <v>25</v>
      </c>
      <c r="F75" s="92">
        <v>27</v>
      </c>
    </row>
    <row r="76" spans="1:6" ht="15" customHeight="1" x14ac:dyDescent="0.2">
      <c r="A76" s="93">
        <v>7.0000000000000007E-2</v>
      </c>
      <c r="B76" s="80" cm="1">
        <f t="array" ref="B76">(SUMPRODUCT($C$36:$L$36/(1+$A76)^$C$38:$L$38)+$B$44*B$75/(1+$A76)^10-$B$64-$B$65)/$B$67</f>
        <v>205.90855950987597</v>
      </c>
      <c r="C76" s="80" cm="1">
        <f t="array" ref="C76">(SUMPRODUCT($C$36:$L$36/(1+$A76)^$C$38:$L$38)+$B$44*C$75/(1+$A76)^10-$B$64-$B$65)/$B$67</f>
        <v>227.66985445879351</v>
      </c>
      <c r="D76" s="80" cm="1">
        <f t="array" ref="D76">(SUMPRODUCT($C$36:$L$36/(1+$A76)^$C$38:$L$38)+$B$44*D$75/(1+$A76)^10-$B$64-$B$65)/$B$67</f>
        <v>249.43114940771108</v>
      </c>
      <c r="E76" s="80" cm="1">
        <f t="array" ref="E76">(SUMPRODUCT($C$36:$L$36/(1+$A76)^$C$38:$L$38)+$B$44*E$75/(1+$A76)^10-$B$64-$B$65)/$B$67</f>
        <v>271.19244435662858</v>
      </c>
      <c r="F76" s="80" cm="1">
        <f t="array" ref="F76">(SUMPRODUCT($C$36:$L$36/(1+$A76)^$C$38:$L$38)+$B$44*F$75/(1+$A76)^10-$B$64-$B$65)/$B$67</f>
        <v>292.95373930554615</v>
      </c>
    </row>
    <row r="77" spans="1:6" ht="15" customHeight="1" x14ac:dyDescent="0.2">
      <c r="A77" s="93">
        <v>7.4999999999999997E-2</v>
      </c>
      <c r="B77" s="80" cm="1">
        <f t="array" ref="B77">(SUMPRODUCT($C$36:$L$36/(1+$A77)^$C$38:$L$38)+$B$44*B$75/(1+$A77)^10-$B$64-$B$65)/$B$67</f>
        <v>194.95519942582925</v>
      </c>
      <c r="C77" s="80" cm="1">
        <f t="array" ref="C77">(SUMPRODUCT($C$36:$L$36/(1+$A77)^$C$38:$L$38)+$B$44*C$75/(1+$A77)^10-$B$64-$B$65)/$B$67</f>
        <v>215.72526509633292</v>
      </c>
      <c r="D77" s="80" cm="1">
        <f t="array" ref="D77">(SUMPRODUCT($C$36:$L$36/(1+$A77)^$C$38:$L$38)+$B$44*D$75/(1+$A77)^10-$B$64-$B$65)/$B$67</f>
        <v>236.49533076683647</v>
      </c>
      <c r="E77" s="80" cm="1">
        <f t="array" ref="E77">(SUMPRODUCT($C$36:$L$36/(1+$A77)^$C$38:$L$38)+$B$44*E$75/(1+$A77)^10-$B$64-$B$65)/$B$67</f>
        <v>257.26539643734014</v>
      </c>
      <c r="F77" s="80" cm="1">
        <f t="array" ref="F77">(SUMPRODUCT($C$36:$L$36/(1+$A77)^$C$38:$L$38)+$B$44*F$75/(1+$A77)^10-$B$64-$B$65)/$B$67</f>
        <v>278.03546210784373</v>
      </c>
    </row>
    <row r="78" spans="1:6" ht="15" customHeight="1" x14ac:dyDescent="0.2">
      <c r="A78" s="93">
        <v>0.08</v>
      </c>
      <c r="B78" s="80" cm="1">
        <f t="array" ref="B78">(SUMPRODUCT($C$36:$L$36/(1+$A78)^$C$38:$L$38)+$B$44*B$75/(1+$A78)^10-$B$64-$B$65)/$B$67</f>
        <v>184.52901509660836</v>
      </c>
      <c r="C78" s="80" cm="1">
        <f t="array" ref="C78">(SUMPRODUCT($C$36:$L$36/(1+$A78)^$C$38:$L$38)+$B$44*C$75/(1+$A78)^10-$B$64-$B$65)/$B$67</f>
        <v>204.35729118272417</v>
      </c>
      <c r="D78" s="94" cm="1">
        <f t="array" ref="D78">(SUMPRODUCT($C$36:$L$36/(1+$A78)^$C$38:$L$38)+$B$44*D$75/(1+$A78)^10-$B$64-$B$65)/$B$67</f>
        <v>224.18556726883997</v>
      </c>
      <c r="E78" s="80" cm="1">
        <f t="array" ref="E78">(SUMPRODUCT($C$36:$L$36/(1+$A78)^$C$38:$L$38)+$B$44*E$75/(1+$A78)^10-$B$64-$B$65)/$B$67</f>
        <v>244.01384335495587</v>
      </c>
      <c r="F78" s="80" cm="1">
        <f t="array" ref="F78">(SUMPRODUCT($C$36:$L$36/(1+$A78)^$C$38:$L$38)+$B$44*F$75/(1+$A78)^10-$B$64-$B$65)/$B$67</f>
        <v>263.8421194410717</v>
      </c>
    </row>
    <row r="79" spans="1:6" ht="15" customHeight="1" x14ac:dyDescent="0.2">
      <c r="A79" s="93">
        <v>8.5000000000000006E-2</v>
      </c>
      <c r="B79" s="80" cm="1">
        <f t="array" ref="B79">(SUMPRODUCT($C$36:$L$36/(1+$A79)^$C$38:$L$38)+$B$44*B$75/(1+$A79)^10-$B$64-$B$65)/$B$67</f>
        <v>174.60204354249748</v>
      </c>
      <c r="C79" s="80" cm="1">
        <f t="array" ref="C79">(SUMPRODUCT($C$36:$L$36/(1+$A79)^$C$38:$L$38)+$B$44*C$75/(1+$A79)^10-$B$64-$B$65)/$B$67</f>
        <v>193.53529183680541</v>
      </c>
      <c r="D79" s="80" cm="1">
        <f t="array" ref="D79">(SUMPRODUCT($C$36:$L$36/(1+$A79)^$C$38:$L$38)+$B$44*D$75/(1+$A79)^10-$B$64-$B$65)/$B$67</f>
        <v>212.46854013111337</v>
      </c>
      <c r="E79" s="80" cm="1">
        <f t="array" ref="E79">(SUMPRODUCT($C$36:$L$36/(1+$A79)^$C$38:$L$38)+$B$44*E$75/(1+$A79)^10-$B$64-$B$65)/$B$67</f>
        <v>231.40178842542133</v>
      </c>
      <c r="F79" s="80" cm="1">
        <f t="array" ref="F79">(SUMPRODUCT($C$36:$L$36/(1+$A79)^$C$38:$L$38)+$B$44*F$75/(1+$A79)^10-$B$64-$B$65)/$B$67</f>
        <v>250.33503671972917</v>
      </c>
    </row>
    <row r="80" spans="1:6" ht="15" customHeight="1" x14ac:dyDescent="0.2">
      <c r="A80" s="93">
        <v>0.09</v>
      </c>
      <c r="B80" s="80" cm="1">
        <f t="array" ref="B80">(SUMPRODUCT($C$36:$L$36/(1+$A80)^$C$38:$L$38)+$B$44*B$75/(1+$A80)^10-$B$64-$B$65)/$B$67</f>
        <v>165.14793287653782</v>
      </c>
      <c r="C80" s="80" cm="1">
        <f t="array" ref="C80">(SUMPRODUCT($C$36:$L$36/(1+$A80)^$C$38:$L$38)+$B$44*C$75/(1+$A80)^10-$B$64-$B$65)/$B$67</f>
        <v>183.23039369765237</v>
      </c>
      <c r="D80" s="80" cm="1">
        <f t="array" ref="D80">(SUMPRODUCT($C$36:$L$36/(1+$A80)^$C$38:$L$38)+$B$44*D$75/(1+$A80)^10-$B$64-$B$65)/$B$67</f>
        <v>201.3128545187669</v>
      </c>
      <c r="E80" s="80" cm="1">
        <f t="array" ref="E80">(SUMPRODUCT($C$36:$L$36/(1+$A80)^$C$38:$L$38)+$B$44*E$75/(1+$A80)^10-$B$64-$B$65)/$B$67</f>
        <v>219.39531533988142</v>
      </c>
      <c r="F80" s="80" cm="1">
        <f t="array" ref="F80">(SUMPRODUCT($C$36:$L$36/(1+$A80)^$C$38:$L$38)+$B$44*F$75/(1+$A80)^10-$B$64-$B$65)/$B$67</f>
        <v>237.47777616099594</v>
      </c>
    </row>
  </sheetData>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J42"/>
  <sheetViews>
    <sheetView showGridLines="0" zoomScale="125" zoomScaleNormal="100" workbookViewId="0"/>
  </sheetViews>
  <sheetFormatPr baseColWidth="10" defaultColWidth="8.6640625" defaultRowHeight="15" x14ac:dyDescent="0.2"/>
  <cols>
    <col min="1" max="1" width="46" customWidth="1"/>
    <col min="2" max="4" width="14" customWidth="1"/>
    <col min="10" max="10" width="56" customWidth="1"/>
  </cols>
  <sheetData>
    <row r="1" spans="1:10" ht="15.75" customHeight="1" x14ac:dyDescent="0.2">
      <c r="A1" s="1" t="s">
        <v>1199</v>
      </c>
    </row>
    <row r="2" spans="1:10" ht="15" customHeight="1" x14ac:dyDescent="0.2">
      <c r="A2" s="2" t="s">
        <v>950</v>
      </c>
    </row>
    <row r="4" spans="1:10" ht="15" customHeight="1" x14ac:dyDescent="0.2">
      <c r="A4" s="8" t="s">
        <v>951</v>
      </c>
      <c r="B4" s="13" t="s">
        <v>952</v>
      </c>
      <c r="C4" s="13" t="s">
        <v>953</v>
      </c>
    </row>
    <row r="6" spans="1:10" ht="15" customHeight="1" x14ac:dyDescent="0.2">
      <c r="A6" s="14" t="s">
        <v>954</v>
      </c>
      <c r="B6" s="15"/>
      <c r="C6" s="15"/>
    </row>
    <row r="7" spans="1:10" ht="15" customHeight="1" x14ac:dyDescent="0.2">
      <c r="A7" s="7" t="s">
        <v>955</v>
      </c>
      <c r="B7" s="79">
        <f>DCF!B18</f>
        <v>184.26</v>
      </c>
      <c r="C7" s="86">
        <v>1020</v>
      </c>
    </row>
    <row r="8" spans="1:10" ht="15" customHeight="1" x14ac:dyDescent="0.2">
      <c r="A8" s="7" t="s">
        <v>945</v>
      </c>
      <c r="B8" s="95">
        <f>DCF!B16</f>
        <v>376675</v>
      </c>
      <c r="C8" s="84">
        <v>99325</v>
      </c>
      <c r="J8" s="49" t="s">
        <v>956</v>
      </c>
    </row>
    <row r="9" spans="1:10" ht="15" customHeight="1" x14ac:dyDescent="0.2">
      <c r="A9" s="7" t="s">
        <v>957</v>
      </c>
      <c r="B9" s="64">
        <f>B7*B8</f>
        <v>69406135.5</v>
      </c>
      <c r="C9" s="64">
        <f>C7*C8</f>
        <v>101311500</v>
      </c>
    </row>
    <row r="10" spans="1:10" ht="15" customHeight="1" x14ac:dyDescent="0.2">
      <c r="A10" s="7" t="s">
        <v>958</v>
      </c>
      <c r="B10" s="52">
        <f>Capital!C10+Capital!D46-Capital!C45-Capital!D47</f>
        <v>18378673</v>
      </c>
      <c r="C10" s="50">
        <v>18340000</v>
      </c>
      <c r="J10" s="49" t="s">
        <v>959</v>
      </c>
    </row>
    <row r="11" spans="1:10" ht="15" customHeight="1" x14ac:dyDescent="0.2">
      <c r="A11" s="7" t="s">
        <v>960</v>
      </c>
      <c r="B11" s="52">
        <f>DCF!B20</f>
        <v>755000</v>
      </c>
      <c r="C11" s="50">
        <v>0</v>
      </c>
    </row>
    <row r="12" spans="1:10" ht="15" customHeight="1" x14ac:dyDescent="0.2">
      <c r="A12" s="3" t="s">
        <v>900</v>
      </c>
      <c r="B12" s="51">
        <f>B9+B10+B11</f>
        <v>88539808.5</v>
      </c>
      <c r="C12" s="51">
        <f>C9+C10+C11</f>
        <v>119651500</v>
      </c>
    </row>
    <row r="14" spans="1:10" ht="15" customHeight="1" x14ac:dyDescent="0.2">
      <c r="A14" s="14" t="s">
        <v>961</v>
      </c>
      <c r="B14" s="15"/>
      <c r="C14" s="15"/>
    </row>
    <row r="15" spans="1:10" ht="15" customHeight="1" x14ac:dyDescent="0.2">
      <c r="A15" s="7" t="s">
        <v>962</v>
      </c>
      <c r="B15" s="52">
        <f>Rev_Build!F16</f>
        <v>7017219.6443175022</v>
      </c>
      <c r="C15" s="50">
        <v>10245000</v>
      </c>
    </row>
    <row r="16" spans="1:10" ht="15" customHeight="1" x14ac:dyDescent="0.2">
      <c r="A16" s="7" t="s">
        <v>876</v>
      </c>
      <c r="B16" s="52">
        <f>Opex_NOI!F45</f>
        <v>3864757.1645091409</v>
      </c>
      <c r="C16" s="50">
        <v>5240000</v>
      </c>
    </row>
    <row r="17" spans="1:10" ht="15" customHeight="1" x14ac:dyDescent="0.2">
      <c r="A17" s="7" t="s">
        <v>963</v>
      </c>
      <c r="B17" s="75">
        <f>B16/B15</f>
        <v>0.55075334112404417</v>
      </c>
      <c r="C17" s="75">
        <f>C16/C15</f>
        <v>0.51146900927281602</v>
      </c>
    </row>
    <row r="18" spans="1:10" ht="15" customHeight="1" x14ac:dyDescent="0.2">
      <c r="A18" s="7" t="s">
        <v>964</v>
      </c>
      <c r="B18" s="75">
        <f>Rev_Build!F16/Historicals_A!D9-1</f>
        <v>0.14797533465083834</v>
      </c>
      <c r="C18" s="55">
        <v>0.115</v>
      </c>
    </row>
    <row r="19" spans="1:10" ht="15" customHeight="1" x14ac:dyDescent="0.2">
      <c r="A19" s="7" t="s">
        <v>965</v>
      </c>
      <c r="B19" s="79">
        <f>FFO_Bridge!F46</f>
        <v>8.19959748992936</v>
      </c>
      <c r="C19" s="86">
        <v>42.99</v>
      </c>
    </row>
    <row r="20" spans="1:10" ht="15" customHeight="1" x14ac:dyDescent="0.2">
      <c r="A20" s="7" t="s">
        <v>966</v>
      </c>
      <c r="B20" s="79">
        <f>FFO_Bridge!F63</f>
        <v>7.1332141113107976</v>
      </c>
      <c r="C20" s="86">
        <v>42.99</v>
      </c>
    </row>
    <row r="21" spans="1:10" ht="15" customHeight="1" x14ac:dyDescent="0.2">
      <c r="A21" s="7" t="s">
        <v>967</v>
      </c>
      <c r="B21" s="79">
        <f>Capital!F23</f>
        <v>4.88</v>
      </c>
      <c r="C21" s="86">
        <v>19.36</v>
      </c>
      <c r="J21" s="49" t="s">
        <v>968</v>
      </c>
    </row>
    <row r="23" spans="1:10" ht="15" customHeight="1" x14ac:dyDescent="0.2">
      <c r="A23" s="14" t="s">
        <v>969</v>
      </c>
      <c r="B23" s="15"/>
      <c r="C23" s="15"/>
    </row>
    <row r="24" spans="1:10" ht="15" customHeight="1" x14ac:dyDescent="0.2">
      <c r="A24" s="7" t="s">
        <v>970</v>
      </c>
      <c r="B24" s="79">
        <f>FFO_Bridge!K46</f>
        <v>8.858581320255297</v>
      </c>
      <c r="C24" s="86" t="s">
        <v>429</v>
      </c>
    </row>
    <row r="25" spans="1:10" ht="15" customHeight="1" x14ac:dyDescent="0.2">
      <c r="A25" s="7" t="s">
        <v>966</v>
      </c>
      <c r="B25" s="79">
        <f>FFO_Bridge!K63</f>
        <v>7.6492387415352301</v>
      </c>
      <c r="C25" s="86">
        <v>47.7</v>
      </c>
      <c r="J25" s="49" t="s">
        <v>971</v>
      </c>
    </row>
    <row r="26" spans="1:10" ht="15" customHeight="1" x14ac:dyDescent="0.2">
      <c r="A26" s="7" t="s">
        <v>972</v>
      </c>
      <c r="B26" s="75">
        <f>FFO_Bridge!K46/FFO_Bridge!F46-1</f>
        <v>8.0367826729945246E-2</v>
      </c>
      <c r="C26" s="55">
        <v>0.11</v>
      </c>
    </row>
    <row r="28" spans="1:10" ht="15" customHeight="1" x14ac:dyDescent="0.2">
      <c r="A28" s="14" t="s">
        <v>973</v>
      </c>
      <c r="B28" s="15"/>
      <c r="C28" s="15"/>
    </row>
    <row r="29" spans="1:10" ht="15" customHeight="1" x14ac:dyDescent="0.2">
      <c r="A29" s="3" t="s">
        <v>974</v>
      </c>
      <c r="B29" s="97">
        <f>B12/B16</f>
        <v>22.909539909280525</v>
      </c>
      <c r="C29" s="97">
        <f>C12/C16</f>
        <v>22.83425572519084</v>
      </c>
    </row>
    <row r="30" spans="1:10" ht="15" customHeight="1" x14ac:dyDescent="0.2">
      <c r="A30" s="3" t="s">
        <v>975</v>
      </c>
      <c r="B30" s="97">
        <f>B7/B19</f>
        <v>22.471834773146579</v>
      </c>
      <c r="C30" s="97">
        <f>C7/C19</f>
        <v>23.726448011165385</v>
      </c>
    </row>
    <row r="31" spans="1:10" ht="15" customHeight="1" x14ac:dyDescent="0.2">
      <c r="A31" s="3" t="s">
        <v>976</v>
      </c>
      <c r="B31" s="97">
        <f>B7/B20</f>
        <v>25.831272849055196</v>
      </c>
      <c r="C31" s="97">
        <f>C7/C20</f>
        <v>23.726448011165385</v>
      </c>
    </row>
    <row r="32" spans="1:10" ht="15" customHeight="1" x14ac:dyDescent="0.2">
      <c r="A32" s="3" t="s">
        <v>977</v>
      </c>
      <c r="B32" s="97">
        <f>B7/B25</f>
        <v>24.088671595445369</v>
      </c>
      <c r="C32" s="97">
        <f>C7/C25</f>
        <v>21.383647798742135</v>
      </c>
    </row>
    <row r="33" spans="1:3" ht="15" customHeight="1" x14ac:dyDescent="0.2">
      <c r="A33" s="3" t="s">
        <v>978</v>
      </c>
      <c r="B33" s="98">
        <f>B21/B7</f>
        <v>2.6484315640942148E-2</v>
      </c>
      <c r="C33" s="98">
        <f>C21/C7</f>
        <v>1.8980392156862744E-2</v>
      </c>
    </row>
    <row r="34" spans="1:3" ht="15" customHeight="1" x14ac:dyDescent="0.2">
      <c r="A34" s="3" t="s">
        <v>979</v>
      </c>
      <c r="B34" s="97">
        <f>B10/B16</f>
        <v>4.755453503980827</v>
      </c>
      <c r="C34" s="97">
        <f>C10/C16</f>
        <v>3.5</v>
      </c>
    </row>
    <row r="36" spans="1:3" ht="15" customHeight="1" x14ac:dyDescent="0.2">
      <c r="A36" s="14" t="s">
        <v>980</v>
      </c>
      <c r="B36" s="15"/>
      <c r="C36" s="15"/>
    </row>
    <row r="37" spans="1:3" ht="15" customHeight="1" x14ac:dyDescent="0.2">
      <c r="A37" s="7" t="s">
        <v>981</v>
      </c>
      <c r="B37" s="75">
        <f>B29/C29-1</f>
        <v>3.2969843640067165E-3</v>
      </c>
    </row>
    <row r="38" spans="1:3" ht="15" customHeight="1" x14ac:dyDescent="0.2">
      <c r="A38" s="7" t="s">
        <v>982</v>
      </c>
      <c r="B38" s="75">
        <f>B32/C32-1</f>
        <v>0.12649964225759236</v>
      </c>
    </row>
    <row r="39" spans="1:3" ht="15" customHeight="1" x14ac:dyDescent="0.2">
      <c r="A39" s="7" t="s">
        <v>983</v>
      </c>
      <c r="B39" s="75">
        <f>B18-C18</f>
        <v>3.2975334650838337E-2</v>
      </c>
    </row>
    <row r="40" spans="1:3" ht="15" customHeight="1" x14ac:dyDescent="0.2">
      <c r="A40" s="7" t="s">
        <v>984</v>
      </c>
      <c r="B40" s="76">
        <f>B34-C34</f>
        <v>1.255453503980827</v>
      </c>
    </row>
    <row r="42" spans="1:3" ht="15" customHeight="1" x14ac:dyDescent="0.2">
      <c r="A42" s="49" t="s">
        <v>985</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sheetPr>
  <dimension ref="A1:P103"/>
  <sheetViews>
    <sheetView showGridLines="0" zoomScale="142" zoomScaleNormal="100" workbookViewId="0"/>
  </sheetViews>
  <sheetFormatPr baseColWidth="10" defaultColWidth="8.6640625" defaultRowHeight="15" x14ac:dyDescent="0.2"/>
  <cols>
    <col min="1" max="1" width="48" customWidth="1"/>
    <col min="2" max="14" width="12" customWidth="1"/>
    <col min="16" max="16" width="54" customWidth="1"/>
  </cols>
  <sheetData>
    <row r="1" spans="1:16" ht="15.75" customHeight="1" x14ac:dyDescent="0.2">
      <c r="A1" s="1" t="s">
        <v>1200</v>
      </c>
    </row>
    <row r="2" spans="1:16" ht="15" customHeight="1" x14ac:dyDescent="0.2">
      <c r="A2" s="2" t="s">
        <v>786</v>
      </c>
    </row>
    <row r="5" spans="1:16" ht="15" customHeight="1" x14ac:dyDescent="0.2">
      <c r="A5" s="8" t="s">
        <v>599</v>
      </c>
      <c r="B5" s="13" t="s">
        <v>600</v>
      </c>
      <c r="C5" s="13" t="s">
        <v>601</v>
      </c>
      <c r="D5" s="13" t="s">
        <v>602</v>
      </c>
      <c r="E5" s="13" t="s">
        <v>603</v>
      </c>
      <c r="F5" s="13" t="s">
        <v>604</v>
      </c>
      <c r="G5" s="13" t="s">
        <v>605</v>
      </c>
      <c r="H5" s="13" t="s">
        <v>606</v>
      </c>
      <c r="I5" s="13" t="s">
        <v>607</v>
      </c>
      <c r="J5" s="13" t="s">
        <v>608</v>
      </c>
      <c r="K5" s="13" t="s">
        <v>609</v>
      </c>
      <c r="L5" s="13" t="s">
        <v>610</v>
      </c>
      <c r="M5" s="13" t="s">
        <v>611</v>
      </c>
      <c r="N5" s="13" t="s">
        <v>612</v>
      </c>
      <c r="P5" s="8" t="s">
        <v>613</v>
      </c>
    </row>
    <row r="7" spans="1:16" ht="15" customHeight="1" x14ac:dyDescent="0.2">
      <c r="A7" s="14" t="s">
        <v>1143</v>
      </c>
      <c r="B7" s="15"/>
      <c r="C7" s="15"/>
      <c r="D7" s="15"/>
      <c r="E7" s="15"/>
      <c r="F7" s="15"/>
      <c r="G7" s="15"/>
      <c r="H7" s="15"/>
      <c r="I7" s="15"/>
      <c r="J7" s="15"/>
      <c r="K7" s="15"/>
      <c r="L7" s="15"/>
      <c r="M7" s="15"/>
      <c r="N7" s="15"/>
    </row>
    <row r="8" spans="1:16" ht="15" customHeight="1" x14ac:dyDescent="0.2">
      <c r="A8" s="7" t="s">
        <v>787</v>
      </c>
      <c r="B8" s="52">
        <f>Opex_NOI!B54</f>
        <v>266932</v>
      </c>
      <c r="C8" s="52">
        <f>Opex_NOI!C54</f>
        <v>258257</v>
      </c>
      <c r="D8" s="52">
        <f>Opex_NOI!D54</f>
        <v>238381.31958674791</v>
      </c>
      <c r="E8" s="52">
        <f>Opex_NOI!E54</f>
        <v>241479.84492239356</v>
      </c>
      <c r="F8" s="64">
        <f t="shared" ref="F8:F18" si="0">B8+C8+D8+E8</f>
        <v>1005050.1645091415</v>
      </c>
      <c r="G8" s="52">
        <f>Opex_NOI!G54</f>
        <v>327225.53293709736</v>
      </c>
      <c r="H8" s="52">
        <f>Opex_NOI!H54</f>
        <v>308266.08149592904</v>
      </c>
      <c r="I8" s="52">
        <f>Opex_NOI!I54</f>
        <v>316525.36101572635</v>
      </c>
      <c r="J8" s="52">
        <f>Opex_NOI!J54</f>
        <v>326687.02899702778</v>
      </c>
      <c r="K8" s="64">
        <f t="shared" ref="K8:K18" si="1">G8+H8+I8+J8</f>
        <v>1278704.0044457805</v>
      </c>
      <c r="L8" s="52">
        <f>Opex_NOI!L54</f>
        <v>1719124.8516290616</v>
      </c>
      <c r="M8" s="52">
        <f>Opex_NOI!M54</f>
        <v>1999661.2548418362</v>
      </c>
      <c r="N8" s="52">
        <f>Opex_NOI!N54</f>
        <v>2250784.4156127023</v>
      </c>
      <c r="P8" s="49" t="s">
        <v>788</v>
      </c>
    </row>
    <row r="9" spans="1:16" ht="15" customHeight="1" x14ac:dyDescent="0.2">
      <c r="A9" s="7" t="s">
        <v>789</v>
      </c>
      <c r="B9" s="50">
        <v>0</v>
      </c>
      <c r="C9" s="50">
        <v>201000</v>
      </c>
      <c r="D9" s="50">
        <v>0</v>
      </c>
      <c r="E9" s="50">
        <v>0</v>
      </c>
      <c r="F9" s="64">
        <f t="shared" si="0"/>
        <v>201000</v>
      </c>
      <c r="G9" s="50">
        <v>0</v>
      </c>
      <c r="H9" s="50">
        <v>0</v>
      </c>
      <c r="I9" s="50">
        <v>0</v>
      </c>
      <c r="J9" s="50">
        <v>0</v>
      </c>
      <c r="K9" s="64">
        <f t="shared" si="1"/>
        <v>0</v>
      </c>
      <c r="L9" s="50">
        <v>0</v>
      </c>
      <c r="M9" s="50">
        <v>0</v>
      </c>
      <c r="N9" s="50">
        <v>0</v>
      </c>
    </row>
    <row r="10" spans="1:16" ht="15" customHeight="1" x14ac:dyDescent="0.2">
      <c r="A10" s="7" t="s">
        <v>790</v>
      </c>
      <c r="B10" s="52">
        <f>Historicals_Q!E31</f>
        <v>873</v>
      </c>
      <c r="C10" s="52">
        <f>Historicals_Q!F31</f>
        <v>7988</v>
      </c>
      <c r="D10" s="50">
        <v>155000</v>
      </c>
      <c r="E10" s="50">
        <v>155000</v>
      </c>
      <c r="F10" s="64">
        <f t="shared" si="0"/>
        <v>318861</v>
      </c>
      <c r="G10" s="50">
        <v>60000</v>
      </c>
      <c r="H10" s="50">
        <v>60000</v>
      </c>
      <c r="I10" s="50">
        <v>60000</v>
      </c>
      <c r="J10" s="50">
        <v>60000</v>
      </c>
      <c r="K10" s="64">
        <f t="shared" si="1"/>
        <v>240000</v>
      </c>
      <c r="L10" s="50">
        <v>250000</v>
      </c>
      <c r="M10" s="50">
        <v>250000</v>
      </c>
      <c r="N10" s="50">
        <v>250000</v>
      </c>
      <c r="P10" s="49" t="s">
        <v>791</v>
      </c>
    </row>
    <row r="11" spans="1:16" ht="15" customHeight="1" x14ac:dyDescent="0.2">
      <c r="A11" s="7" t="s">
        <v>792</v>
      </c>
      <c r="B11" s="52">
        <f>Historicals_Q!E33</f>
        <v>-1833</v>
      </c>
      <c r="C11" s="52">
        <f>Historicals_Q!F33</f>
        <v>36</v>
      </c>
      <c r="D11" s="50">
        <v>5000</v>
      </c>
      <c r="E11" s="50">
        <v>5000</v>
      </c>
      <c r="F11" s="64">
        <f t="shared" si="0"/>
        <v>8203</v>
      </c>
      <c r="G11" s="50">
        <v>5000</v>
      </c>
      <c r="H11" s="50">
        <v>5000</v>
      </c>
      <c r="I11" s="50">
        <v>5000</v>
      </c>
      <c r="J11" s="50">
        <v>5000</v>
      </c>
      <c r="K11" s="64">
        <f t="shared" si="1"/>
        <v>20000</v>
      </c>
      <c r="L11" s="50">
        <v>20000</v>
      </c>
      <c r="M11" s="50">
        <v>20000</v>
      </c>
      <c r="N11" s="50">
        <v>20000</v>
      </c>
    </row>
    <row r="12" spans="1:16" ht="15" customHeight="1" x14ac:dyDescent="0.2">
      <c r="A12" s="7" t="s">
        <v>793</v>
      </c>
      <c r="B12" s="52">
        <f>Historicals_Q!E34</f>
        <v>45342</v>
      </c>
      <c r="C12" s="52">
        <f>Historicals_Q!F34</f>
        <v>137944</v>
      </c>
      <c r="D12" s="52">
        <f>Opex_NOI!D44</f>
        <v>40000</v>
      </c>
      <c r="E12" s="52">
        <f>Opex_NOI!E44</f>
        <v>40000</v>
      </c>
      <c r="F12" s="64">
        <f t="shared" si="0"/>
        <v>263286</v>
      </c>
      <c r="G12" s="52">
        <f>Opex_NOI!G44</f>
        <v>40000</v>
      </c>
      <c r="H12" s="52">
        <f>Opex_NOI!H44</f>
        <v>40000</v>
      </c>
      <c r="I12" s="52">
        <f>Opex_NOI!I44</f>
        <v>40000</v>
      </c>
      <c r="J12" s="52">
        <f>Opex_NOI!J44</f>
        <v>40000</v>
      </c>
      <c r="K12" s="64">
        <f t="shared" si="1"/>
        <v>160000</v>
      </c>
      <c r="L12" s="52">
        <f>Opex_NOI!L44</f>
        <v>160000</v>
      </c>
      <c r="M12" s="52">
        <f>Opex_NOI!M44</f>
        <v>160000</v>
      </c>
      <c r="N12" s="52">
        <f>Opex_NOI!N44</f>
        <v>160000</v>
      </c>
    </row>
    <row r="13" spans="1:16" ht="15" customHeight="1" x14ac:dyDescent="0.2">
      <c r="A13" s="7" t="s">
        <v>794</v>
      </c>
      <c r="B13" s="52">
        <f>Capital!B15</f>
        <v>116384</v>
      </c>
      <c r="C13" s="52">
        <f>Capital!C15</f>
        <v>113943</v>
      </c>
      <c r="D13" s="52">
        <f>Capital!D15</f>
        <v>116400.46650000001</v>
      </c>
      <c r="E13" s="52">
        <f>Capital!E15</f>
        <v>119837.96650000001</v>
      </c>
      <c r="F13" s="64">
        <f t="shared" si="0"/>
        <v>466565.43299999996</v>
      </c>
      <c r="G13" s="52">
        <f>Capital!G15</f>
        <v>133468.14099999997</v>
      </c>
      <c r="H13" s="52">
        <f>Capital!H15</f>
        <v>130468.14099999997</v>
      </c>
      <c r="I13" s="52">
        <f>Capital!I15</f>
        <v>128784.78051776829</v>
      </c>
      <c r="J13" s="52">
        <f>Capital!J15</f>
        <v>127052.81045325217</v>
      </c>
      <c r="K13" s="64">
        <f t="shared" si="1"/>
        <v>519773.87297102041</v>
      </c>
      <c r="L13" s="52">
        <f>Capital!L15</f>
        <v>544054.52642035065</v>
      </c>
      <c r="M13" s="52">
        <f>Capital!M15</f>
        <v>599666.41420408268</v>
      </c>
      <c r="N13" s="52">
        <f>Capital!N15</f>
        <v>648454.26937319373</v>
      </c>
      <c r="P13" s="49" t="s">
        <v>1144</v>
      </c>
    </row>
    <row r="14" spans="1:16" ht="15" customHeight="1" x14ac:dyDescent="0.2">
      <c r="A14" s="7" t="s">
        <v>795</v>
      </c>
      <c r="B14" s="52">
        <f>-Historicals_Q!E37-Historicals_Q!E36</f>
        <v>20127</v>
      </c>
      <c r="C14" s="52">
        <f>-Historicals_Q!F37-Historicals_Q!F36</f>
        <v>33675</v>
      </c>
      <c r="D14" s="50">
        <v>35000</v>
      </c>
      <c r="E14" s="50">
        <v>35000</v>
      </c>
      <c r="F14" s="64">
        <f t="shared" si="0"/>
        <v>123802</v>
      </c>
      <c r="G14" s="50">
        <v>35000</v>
      </c>
      <c r="H14" s="50">
        <v>35000</v>
      </c>
      <c r="I14" s="50">
        <v>35000</v>
      </c>
      <c r="J14" s="50">
        <v>35000</v>
      </c>
      <c r="K14" s="64">
        <f t="shared" si="1"/>
        <v>140000</v>
      </c>
      <c r="L14" s="50">
        <v>150000</v>
      </c>
      <c r="M14" s="50">
        <v>150000</v>
      </c>
      <c r="N14" s="50">
        <v>150000</v>
      </c>
      <c r="P14" s="49" t="s">
        <v>796</v>
      </c>
    </row>
    <row r="15" spans="1:16" ht="15" customHeight="1" x14ac:dyDescent="0.2">
      <c r="A15" s="3" t="s">
        <v>797</v>
      </c>
      <c r="B15" s="51">
        <f>B8+B9+B10+B11+B12-B13-B14</f>
        <v>174803</v>
      </c>
      <c r="C15" s="51">
        <f>C8+C9+C10+C11+C12-C13-C14</f>
        <v>457607</v>
      </c>
      <c r="D15" s="51">
        <f>D8+D9+D10+D11+D12-D13-D14</f>
        <v>286980.85308674793</v>
      </c>
      <c r="E15" s="51">
        <f>E8+E9+E10+E11+E12-E13-E14</f>
        <v>286641.87842239358</v>
      </c>
      <c r="F15" s="51">
        <f t="shared" si="0"/>
        <v>1206032.7315091416</v>
      </c>
      <c r="G15" s="51">
        <f>G8+G9+G10+G11+G12-G13-G14</f>
        <v>263757.39193709742</v>
      </c>
      <c r="H15" s="51">
        <f>H8+H9+H10+H11+H12-H13-H14</f>
        <v>247797.9404959291</v>
      </c>
      <c r="I15" s="51">
        <f>I8+I9+I10+I11+I12-I13-I14</f>
        <v>257740.58049795806</v>
      </c>
      <c r="J15" s="51">
        <f>J8+J9+J10+J11+J12-J13-J14</f>
        <v>269634.21854377561</v>
      </c>
      <c r="K15" s="51">
        <f t="shared" si="1"/>
        <v>1038930.1314747601</v>
      </c>
      <c r="L15" s="51">
        <f>L8+L9+L10+L11+L12-L13-L14</f>
        <v>1455070.325208711</v>
      </c>
      <c r="M15" s="51">
        <f>M8+M9+M10+M11+M12-M13-M14</f>
        <v>1679994.8406377535</v>
      </c>
      <c r="N15" s="51">
        <f>N8+N9+N10+N11+N12-N13-N14</f>
        <v>1882330.1462395084</v>
      </c>
    </row>
    <row r="16" spans="1:16" ht="15" customHeight="1" x14ac:dyDescent="0.2">
      <c r="A16" s="7" t="s">
        <v>798</v>
      </c>
      <c r="B16" s="52">
        <f>-Historicals_Q!E39</f>
        <v>-4470</v>
      </c>
      <c r="C16" s="52">
        <f>-Historicals_Q!F39</f>
        <v>4318</v>
      </c>
      <c r="D16" s="50">
        <v>4000</v>
      </c>
      <c r="E16" s="50">
        <v>4000</v>
      </c>
      <c r="F16" s="64">
        <f t="shared" si="0"/>
        <v>7848</v>
      </c>
      <c r="G16" s="50">
        <v>4000</v>
      </c>
      <c r="H16" s="50">
        <v>4000</v>
      </c>
      <c r="I16" s="50">
        <v>4000</v>
      </c>
      <c r="J16" s="50">
        <v>4000</v>
      </c>
      <c r="K16" s="64">
        <f t="shared" si="1"/>
        <v>16000</v>
      </c>
      <c r="L16" s="50">
        <v>16000</v>
      </c>
      <c r="M16" s="50">
        <v>16000</v>
      </c>
      <c r="N16" s="50">
        <v>16000</v>
      </c>
    </row>
    <row r="17" spans="1:16" ht="15" customHeight="1" x14ac:dyDescent="0.2">
      <c r="A17" s="7" t="s">
        <v>799</v>
      </c>
      <c r="B17" s="52">
        <f>-Historicals_Q!E40</f>
        <v>10181</v>
      </c>
      <c r="C17" s="52">
        <f>-Historicals_Q!F40</f>
        <v>10181</v>
      </c>
      <c r="D17" s="50">
        <v>10181</v>
      </c>
      <c r="E17" s="50">
        <v>10181</v>
      </c>
      <c r="F17" s="64">
        <f t="shared" si="0"/>
        <v>40724</v>
      </c>
      <c r="G17" s="50">
        <v>10181</v>
      </c>
      <c r="H17" s="50">
        <v>10181</v>
      </c>
      <c r="I17" s="50">
        <v>10181</v>
      </c>
      <c r="J17" s="50">
        <v>10181</v>
      </c>
      <c r="K17" s="64">
        <f t="shared" si="1"/>
        <v>40724</v>
      </c>
      <c r="L17" s="50">
        <v>40724</v>
      </c>
      <c r="M17" s="50">
        <v>40724</v>
      </c>
      <c r="N17" s="50">
        <v>40724</v>
      </c>
    </row>
    <row r="18" spans="1:16" ht="15" customHeight="1" x14ac:dyDescent="0.2">
      <c r="A18" s="3" t="s">
        <v>800</v>
      </c>
      <c r="B18" s="53">
        <f>B15-B16-B17</f>
        <v>169092</v>
      </c>
      <c r="C18" s="53">
        <f>C15-C16-C17</f>
        <v>443108</v>
      </c>
      <c r="D18" s="53">
        <f>D15-D16-D17</f>
        <v>272799.85308674793</v>
      </c>
      <c r="E18" s="53">
        <f>E15-E16-E17</f>
        <v>272460.87842239358</v>
      </c>
      <c r="F18" s="53">
        <f t="shared" si="0"/>
        <v>1157460.7315091416</v>
      </c>
      <c r="G18" s="53">
        <f>G15-G16-G17</f>
        <v>249576.39193709742</v>
      </c>
      <c r="H18" s="53">
        <f>H15-H16-H17</f>
        <v>233616.9404959291</v>
      </c>
      <c r="I18" s="53">
        <f>I15-I16-I17</f>
        <v>243559.58049795806</v>
      </c>
      <c r="J18" s="53">
        <f>J15-J16-J17</f>
        <v>255453.21854377561</v>
      </c>
      <c r="K18" s="53">
        <f t="shared" si="1"/>
        <v>982206.13147476013</v>
      </c>
      <c r="L18" s="53">
        <f>L15-L16-L17</f>
        <v>1398346.325208711</v>
      </c>
      <c r="M18" s="53">
        <f>M15-M16-M17</f>
        <v>1623270.8406377535</v>
      </c>
      <c r="N18" s="53">
        <f>N15-N16-N17</f>
        <v>1825606.1462395084</v>
      </c>
    </row>
    <row r="20" spans="1:16" ht="15" customHeight="1" x14ac:dyDescent="0.2">
      <c r="A20" s="14" t="s">
        <v>1145</v>
      </c>
      <c r="B20" s="15"/>
      <c r="C20" s="15"/>
      <c r="D20" s="15"/>
      <c r="E20" s="15"/>
      <c r="F20" s="15"/>
      <c r="G20" s="15"/>
      <c r="H20" s="15"/>
      <c r="I20" s="15"/>
      <c r="J20" s="15"/>
      <c r="K20" s="15"/>
      <c r="L20" s="15"/>
      <c r="M20" s="15"/>
      <c r="N20" s="15"/>
    </row>
    <row r="21" spans="1:16" ht="15" customHeight="1" x14ac:dyDescent="0.2">
      <c r="A21" s="7" t="s">
        <v>801</v>
      </c>
      <c r="B21" s="64">
        <f>B18</f>
        <v>169092</v>
      </c>
      <c r="C21" s="64">
        <f>C18</f>
        <v>443108</v>
      </c>
      <c r="D21" s="64">
        <f>D18</f>
        <v>272799.85308674793</v>
      </c>
      <c r="E21" s="64">
        <f>E18</f>
        <v>272460.87842239358</v>
      </c>
      <c r="F21" s="64">
        <f t="shared" ref="F21:F30" si="2">B21+C21+D21+E21</f>
        <v>1157460.7315091416</v>
      </c>
      <c r="G21" s="64">
        <f>G18</f>
        <v>249576.39193709742</v>
      </c>
      <c r="H21" s="64">
        <f>H18</f>
        <v>233616.9404959291</v>
      </c>
      <c r="I21" s="64">
        <f>I18</f>
        <v>243559.58049795806</v>
      </c>
      <c r="J21" s="64">
        <f>J18</f>
        <v>255453.21854377561</v>
      </c>
      <c r="K21" s="64">
        <f t="shared" ref="K21:K30" si="3">G21+H21+I21+J21</f>
        <v>982206.13147476013</v>
      </c>
      <c r="L21" s="64">
        <f>L18</f>
        <v>1398346.325208711</v>
      </c>
      <c r="M21" s="64">
        <f>M18</f>
        <v>1623270.8406377535</v>
      </c>
      <c r="N21" s="64">
        <f>N18</f>
        <v>1825606.1462395084</v>
      </c>
    </row>
    <row r="22" spans="1:16" ht="15" customHeight="1" x14ac:dyDescent="0.2">
      <c r="A22" s="7" t="s">
        <v>802</v>
      </c>
      <c r="B22" s="52">
        <f>Historicals_Q!E47</f>
        <v>4000</v>
      </c>
      <c r="C22" s="52">
        <f>Historicals_Q!F47</f>
        <v>9000</v>
      </c>
      <c r="D22" s="50">
        <v>9000</v>
      </c>
      <c r="E22" s="50">
        <v>9000</v>
      </c>
      <c r="F22" s="64">
        <f t="shared" si="2"/>
        <v>31000</v>
      </c>
      <c r="G22" s="50">
        <v>9000</v>
      </c>
      <c r="H22" s="50">
        <v>9000</v>
      </c>
      <c r="I22" s="50">
        <v>9000</v>
      </c>
      <c r="J22" s="50">
        <v>9000</v>
      </c>
      <c r="K22" s="64">
        <f t="shared" si="3"/>
        <v>36000</v>
      </c>
      <c r="L22" s="50">
        <v>36000</v>
      </c>
      <c r="M22" s="50">
        <v>36000</v>
      </c>
      <c r="N22" s="50">
        <v>36000</v>
      </c>
    </row>
    <row r="23" spans="1:16" ht="15" customHeight="1" x14ac:dyDescent="0.2">
      <c r="A23" s="7" t="s">
        <v>803</v>
      </c>
      <c r="B23" s="64">
        <f>Opex_NOI!B36-B29</f>
        <v>490965</v>
      </c>
      <c r="C23" s="64">
        <f>Opex_NOI!C36-C29</f>
        <v>499106</v>
      </c>
      <c r="D23" s="64">
        <f>Opex_NOI!D36-D29</f>
        <v>542000</v>
      </c>
      <c r="E23" s="64">
        <f>Opex_NOI!E36-E29</f>
        <v>552000</v>
      </c>
      <c r="F23" s="64">
        <f t="shared" si="2"/>
        <v>2084071</v>
      </c>
      <c r="G23" s="64">
        <f>Opex_NOI!G36-G29</f>
        <v>567000</v>
      </c>
      <c r="H23" s="64">
        <f>Opex_NOI!H36-H29</f>
        <v>582000</v>
      </c>
      <c r="I23" s="64">
        <f>Opex_NOI!I36-I29</f>
        <v>597000</v>
      </c>
      <c r="J23" s="64">
        <f>Opex_NOI!J36-J29</f>
        <v>612000</v>
      </c>
      <c r="K23" s="64">
        <f t="shared" si="3"/>
        <v>2358000</v>
      </c>
      <c r="L23" s="64">
        <f>Opex_NOI!L36-L29</f>
        <v>2618000</v>
      </c>
      <c r="M23" s="64">
        <f>Opex_NOI!M36-M29</f>
        <v>2838000</v>
      </c>
      <c r="N23" s="64">
        <f>Opex_NOI!N36-N29</f>
        <v>3008000</v>
      </c>
      <c r="P23" s="49" t="s">
        <v>804</v>
      </c>
    </row>
    <row r="24" spans="1:16" ht="15" customHeight="1" x14ac:dyDescent="0.2">
      <c r="A24" s="7" t="s">
        <v>805</v>
      </c>
      <c r="B24" s="52">
        <f>Historicals_Q!E49</f>
        <v>-23726</v>
      </c>
      <c r="C24" s="52">
        <f>Historicals_Q!F49</f>
        <v>-24292</v>
      </c>
      <c r="D24" s="50">
        <v>-24500</v>
      </c>
      <c r="E24" s="50">
        <v>-24500</v>
      </c>
      <c r="F24" s="64">
        <f t="shared" si="2"/>
        <v>-97018</v>
      </c>
      <c r="G24" s="50">
        <v>-24500</v>
      </c>
      <c r="H24" s="50">
        <v>-24500</v>
      </c>
      <c r="I24" s="50">
        <v>-24500</v>
      </c>
      <c r="J24" s="50">
        <v>-24500</v>
      </c>
      <c r="K24" s="64">
        <f t="shared" si="3"/>
        <v>-98000</v>
      </c>
      <c r="L24" s="50">
        <v>-100000</v>
      </c>
      <c r="M24" s="50">
        <v>-100000</v>
      </c>
      <c r="N24" s="50">
        <v>-100000</v>
      </c>
    </row>
    <row r="25" spans="1:16" ht="15" customHeight="1" x14ac:dyDescent="0.2">
      <c r="A25" s="7" t="s">
        <v>806</v>
      </c>
      <c r="B25" s="52">
        <f>Historicals_Q!E50</f>
        <v>60291</v>
      </c>
      <c r="C25" s="52">
        <f>Historicals_Q!F50</f>
        <v>62972</v>
      </c>
      <c r="D25" s="50">
        <v>55000</v>
      </c>
      <c r="E25" s="50">
        <v>55000</v>
      </c>
      <c r="F25" s="64">
        <f t="shared" si="2"/>
        <v>233263</v>
      </c>
      <c r="G25" s="50">
        <v>55000</v>
      </c>
      <c r="H25" s="50">
        <v>55000</v>
      </c>
      <c r="I25" s="50">
        <v>55000</v>
      </c>
      <c r="J25" s="50">
        <v>55000</v>
      </c>
      <c r="K25" s="64">
        <f t="shared" si="3"/>
        <v>220000</v>
      </c>
      <c r="L25" s="50">
        <v>225000</v>
      </c>
      <c r="M25" s="50">
        <v>225000</v>
      </c>
      <c r="N25" s="50">
        <v>225000</v>
      </c>
      <c r="P25" s="49" t="s">
        <v>1146</v>
      </c>
    </row>
    <row r="26" spans="1:16" ht="15" customHeight="1" x14ac:dyDescent="0.2">
      <c r="A26" s="7" t="s">
        <v>807</v>
      </c>
      <c r="B26" s="52">
        <f>Historicals_Q!E51</f>
        <v>-226</v>
      </c>
      <c r="C26" s="52">
        <f>Historicals_Q!F51</f>
        <v>-7988</v>
      </c>
      <c r="D26" s="64">
        <f>-D10</f>
        <v>-155000</v>
      </c>
      <c r="E26" s="64">
        <f>-E10</f>
        <v>-155000</v>
      </c>
      <c r="F26" s="64">
        <f t="shared" si="2"/>
        <v>-318214</v>
      </c>
      <c r="G26" s="64">
        <f>-G10</f>
        <v>-60000</v>
      </c>
      <c r="H26" s="64">
        <f>-H10</f>
        <v>-60000</v>
      </c>
      <c r="I26" s="64">
        <f>-I10</f>
        <v>-60000</v>
      </c>
      <c r="J26" s="64">
        <f>-J10</f>
        <v>-60000</v>
      </c>
      <c r="K26" s="64">
        <f t="shared" si="3"/>
        <v>-240000</v>
      </c>
      <c r="L26" s="64">
        <f>-L10</f>
        <v>-250000</v>
      </c>
      <c r="M26" s="64">
        <f>-M10</f>
        <v>-250000</v>
      </c>
      <c r="N26" s="64">
        <f>-N10</f>
        <v>-250000</v>
      </c>
      <c r="P26" s="49" t="s">
        <v>808</v>
      </c>
    </row>
    <row r="27" spans="1:16" ht="15" customHeight="1" x14ac:dyDescent="0.2">
      <c r="A27" s="7" t="s">
        <v>809</v>
      </c>
      <c r="B27" s="52">
        <f>Historicals_Q!E52</f>
        <v>0</v>
      </c>
      <c r="C27" s="52">
        <f>Historicals_Q!F52</f>
        <v>0</v>
      </c>
      <c r="D27" s="50">
        <v>0</v>
      </c>
      <c r="E27" s="50">
        <v>0</v>
      </c>
      <c r="F27" s="64">
        <f t="shared" si="2"/>
        <v>0</v>
      </c>
      <c r="G27" s="50">
        <v>0</v>
      </c>
      <c r="H27" s="50">
        <v>0</v>
      </c>
      <c r="I27" s="50">
        <v>0</v>
      </c>
      <c r="J27" s="50">
        <v>0</v>
      </c>
      <c r="K27" s="64">
        <f t="shared" si="3"/>
        <v>0</v>
      </c>
      <c r="L27" s="50">
        <v>0</v>
      </c>
      <c r="M27" s="50">
        <v>0</v>
      </c>
      <c r="N27" s="50">
        <v>0</v>
      </c>
    </row>
    <row r="28" spans="1:16" ht="15" customHeight="1" x14ac:dyDescent="0.2">
      <c r="A28" s="3" t="s">
        <v>810</v>
      </c>
      <c r="B28" s="53">
        <f>SUM(B21:B27)</f>
        <v>700396</v>
      </c>
      <c r="C28" s="53">
        <f>SUM(C21:C27)</f>
        <v>981906</v>
      </c>
      <c r="D28" s="53">
        <f>SUM(D21:D27)</f>
        <v>699299.85308674793</v>
      </c>
      <c r="E28" s="53">
        <f>SUM(E21:E27)</f>
        <v>708960.87842239358</v>
      </c>
      <c r="F28" s="53">
        <f t="shared" si="2"/>
        <v>3090562.7315091416</v>
      </c>
      <c r="G28" s="53">
        <f>SUM(G21:G27)</f>
        <v>796076.39193709742</v>
      </c>
      <c r="H28" s="53">
        <f>SUM(H21:H27)</f>
        <v>795116.9404959291</v>
      </c>
      <c r="I28" s="53">
        <f>SUM(I21:I27)</f>
        <v>820059.580497958</v>
      </c>
      <c r="J28" s="53">
        <f>SUM(J21:J27)</f>
        <v>846953.21854377561</v>
      </c>
      <c r="K28" s="53">
        <f t="shared" si="3"/>
        <v>3258206.1314747604</v>
      </c>
      <c r="L28" s="53">
        <f>SUM(L21:L27)</f>
        <v>3927346.325208711</v>
      </c>
      <c r="M28" s="53">
        <f>SUM(M21:M27)</f>
        <v>4372270.8406377537</v>
      </c>
      <c r="N28" s="53">
        <f>SUM(N21:N27)</f>
        <v>4744606.1462395079</v>
      </c>
    </row>
    <row r="29" spans="1:16" ht="15" customHeight="1" x14ac:dyDescent="0.2">
      <c r="A29" s="7" t="s">
        <v>811</v>
      </c>
      <c r="B29" s="52">
        <f>Historicals_Q!E77</f>
        <v>8546</v>
      </c>
      <c r="C29" s="52">
        <f>Historicals_Q!F77</f>
        <v>8000</v>
      </c>
      <c r="D29" s="50">
        <v>8000</v>
      </c>
      <c r="E29" s="50">
        <v>8000</v>
      </c>
      <c r="F29" s="64">
        <f t="shared" si="2"/>
        <v>32546</v>
      </c>
      <c r="G29" s="50">
        <v>8000</v>
      </c>
      <c r="H29" s="50">
        <v>8000</v>
      </c>
      <c r="I29" s="50">
        <v>8000</v>
      </c>
      <c r="J29" s="50">
        <v>8000</v>
      </c>
      <c r="K29" s="64">
        <f t="shared" si="3"/>
        <v>32000</v>
      </c>
      <c r="L29" s="50">
        <v>32000</v>
      </c>
      <c r="M29" s="50">
        <v>32000</v>
      </c>
      <c r="N29" s="50">
        <v>32000</v>
      </c>
    </row>
    <row r="30" spans="1:16" ht="15" customHeight="1" x14ac:dyDescent="0.2">
      <c r="A30" s="7" t="s">
        <v>812</v>
      </c>
      <c r="B30" s="52">
        <f>Historicals_Q!E96</f>
        <v>15410</v>
      </c>
      <c r="C30" s="52">
        <f>Historicals_Q!F96</f>
        <v>19979</v>
      </c>
      <c r="D30" s="50">
        <v>20000</v>
      </c>
      <c r="E30" s="50">
        <v>20000</v>
      </c>
      <c r="F30" s="64">
        <f t="shared" si="2"/>
        <v>75389</v>
      </c>
      <c r="G30" s="50">
        <v>20000</v>
      </c>
      <c r="H30" s="50">
        <v>20000</v>
      </c>
      <c r="I30" s="50">
        <v>20000</v>
      </c>
      <c r="J30" s="50">
        <v>20000</v>
      </c>
      <c r="K30" s="64">
        <f t="shared" si="3"/>
        <v>80000</v>
      </c>
      <c r="L30" s="50">
        <v>82000</v>
      </c>
      <c r="M30" s="50">
        <v>82000</v>
      </c>
      <c r="N30" s="50">
        <v>82000</v>
      </c>
      <c r="P30" s="49" t="s">
        <v>813</v>
      </c>
    </row>
    <row r="31" spans="1:16" ht="15" customHeight="1" x14ac:dyDescent="0.2">
      <c r="A31" s="7" t="s">
        <v>1147</v>
      </c>
      <c r="B31" s="73">
        <f>Capital!B62</f>
        <v>359300</v>
      </c>
      <c r="C31" s="73">
        <f>Capital!C62</f>
        <v>367605</v>
      </c>
      <c r="D31" s="73">
        <f>Capital!D62</f>
        <v>384602</v>
      </c>
      <c r="E31" s="73">
        <f>Capital!E62</f>
        <v>385602</v>
      </c>
      <c r="F31" s="73">
        <f>Capital!F62</f>
        <v>374074.5</v>
      </c>
      <c r="G31" s="73">
        <f>Capital!G62</f>
        <v>386602</v>
      </c>
      <c r="H31" s="73">
        <f>Capital!H62</f>
        <v>387979.25844487088</v>
      </c>
      <c r="I31" s="73">
        <f>Capital!I62</f>
        <v>389719.84716735734</v>
      </c>
      <c r="J31" s="73">
        <f>Capital!J62</f>
        <v>391629.87572484696</v>
      </c>
      <c r="K31" s="73">
        <f>Capital!K62</f>
        <v>388982.74533426878</v>
      </c>
      <c r="L31" s="73">
        <f>Capital!L62</f>
        <v>397149.83722550998</v>
      </c>
      <c r="M31" s="73">
        <f>Capital!M62</f>
        <v>405527.86434168468</v>
      </c>
      <c r="N31" s="73">
        <f>Capital!N62</f>
        <v>412833.3251885022</v>
      </c>
    </row>
    <row r="32" spans="1:16" ht="15" customHeight="1" x14ac:dyDescent="0.2">
      <c r="A32" s="3" t="s">
        <v>1148</v>
      </c>
      <c r="B32" s="77">
        <f t="shared" ref="B32:N32" si="4">(B28+B30)/B31</f>
        <v>1.9922237684386306</v>
      </c>
      <c r="C32" s="77">
        <f t="shared" si="4"/>
        <v>2.7254389902204812</v>
      </c>
      <c r="D32" s="77">
        <f t="shared" si="4"/>
        <v>1.870244702541193</v>
      </c>
      <c r="E32" s="77">
        <f t="shared" si="4"/>
        <v>1.8904489043687367</v>
      </c>
      <c r="F32" s="77">
        <f t="shared" si="4"/>
        <v>8.4634256852823206</v>
      </c>
      <c r="G32" s="77">
        <f t="shared" si="4"/>
        <v>2.110895422002725</v>
      </c>
      <c r="H32" s="77">
        <f t="shared" si="4"/>
        <v>2.1009291676136121</v>
      </c>
      <c r="I32" s="77">
        <f t="shared" si="4"/>
        <v>2.1555473415168702</v>
      </c>
      <c r="J32" s="77">
        <f t="shared" si="4"/>
        <v>2.213705522182591</v>
      </c>
      <c r="K32" s="77">
        <f t="shared" si="4"/>
        <v>8.5818874269245633</v>
      </c>
      <c r="L32" s="77">
        <f t="shared" si="4"/>
        <v>10.095298926012452</v>
      </c>
      <c r="M32" s="77">
        <f t="shared" si="4"/>
        <v>10.983883555988472</v>
      </c>
      <c r="N32" s="77">
        <f t="shared" si="4"/>
        <v>11.691416006776223</v>
      </c>
    </row>
    <row r="34" spans="1:16" ht="15" customHeight="1" x14ac:dyDescent="0.2">
      <c r="A34" s="14" t="s">
        <v>1149</v>
      </c>
      <c r="B34" s="15"/>
      <c r="C34" s="15"/>
      <c r="D34" s="15"/>
      <c r="E34" s="15"/>
      <c r="F34" s="15"/>
      <c r="G34" s="15"/>
      <c r="H34" s="15"/>
      <c r="I34" s="15"/>
      <c r="J34" s="15"/>
      <c r="K34" s="15"/>
      <c r="L34" s="15"/>
      <c r="M34" s="15"/>
      <c r="N34" s="15"/>
    </row>
    <row r="35" spans="1:16" ht="15" customHeight="1" x14ac:dyDescent="0.2">
      <c r="A35" s="7" t="s">
        <v>814</v>
      </c>
      <c r="B35" s="64">
        <f>B28</f>
        <v>700396</v>
      </c>
      <c r="C35" s="64">
        <f>C28</f>
        <v>981906</v>
      </c>
      <c r="D35" s="64">
        <f>D28</f>
        <v>699299.85308674793</v>
      </c>
      <c r="E35" s="64">
        <f>E28</f>
        <v>708960.87842239358</v>
      </c>
      <c r="F35" s="64">
        <f t="shared" ref="F35:F44" si="5">B35+C35+D35+E35</f>
        <v>3090562.7315091416</v>
      </c>
      <c r="G35" s="64">
        <f>G28</f>
        <v>796076.39193709742</v>
      </c>
      <c r="H35" s="64">
        <f>H28</f>
        <v>795116.9404959291</v>
      </c>
      <c r="I35" s="64">
        <f>I28</f>
        <v>820059.580497958</v>
      </c>
      <c r="J35" s="64">
        <f>J28</f>
        <v>846953.21854377561</v>
      </c>
      <c r="K35" s="64">
        <f t="shared" ref="K35:K44" si="6">G35+H35+I35+J35</f>
        <v>3258206.1314747604</v>
      </c>
      <c r="L35" s="64">
        <f>L28</f>
        <v>3927346.325208711</v>
      </c>
      <c r="M35" s="64">
        <f>M28</f>
        <v>4372270.8406377537</v>
      </c>
      <c r="N35" s="64">
        <f>N28</f>
        <v>4744606.1462395079</v>
      </c>
    </row>
    <row r="36" spans="1:16" ht="15" customHeight="1" x14ac:dyDescent="0.2">
      <c r="A36" s="7" t="s">
        <v>815</v>
      </c>
      <c r="B36" s="52">
        <f>Historicals_Q!E59</f>
        <v>-29</v>
      </c>
      <c r="C36" s="52">
        <f>Historicals_Q!F59</f>
        <v>-80837</v>
      </c>
      <c r="D36" s="50">
        <v>0</v>
      </c>
      <c r="E36" s="50">
        <v>0</v>
      </c>
      <c r="F36" s="64">
        <f t="shared" si="5"/>
        <v>-80866</v>
      </c>
      <c r="G36" s="50">
        <v>0</v>
      </c>
      <c r="H36" s="50">
        <v>0</v>
      </c>
      <c r="I36" s="50">
        <v>0</v>
      </c>
      <c r="J36" s="50">
        <v>0</v>
      </c>
      <c r="K36" s="64">
        <f t="shared" si="6"/>
        <v>0</v>
      </c>
      <c r="L36" s="50">
        <v>0</v>
      </c>
      <c r="M36" s="50">
        <v>0</v>
      </c>
      <c r="N36" s="50">
        <v>0</v>
      </c>
    </row>
    <row r="37" spans="1:16" ht="15" customHeight="1" x14ac:dyDescent="0.2">
      <c r="A37" s="7" t="s">
        <v>816</v>
      </c>
      <c r="B37" s="52">
        <f>Opex_NOI!B34</f>
        <v>15685</v>
      </c>
      <c r="C37" s="52">
        <f>Opex_NOI!C34</f>
        <v>38703</v>
      </c>
      <c r="D37" s="52">
        <f>Opex_NOI!D34</f>
        <v>55000</v>
      </c>
      <c r="E37" s="52">
        <f>Opex_NOI!E34</f>
        <v>55000</v>
      </c>
      <c r="F37" s="64">
        <f t="shared" si="5"/>
        <v>164388</v>
      </c>
      <c r="G37" s="52">
        <f>Opex_NOI!G34</f>
        <v>30000</v>
      </c>
      <c r="H37" s="52">
        <f>Opex_NOI!H34</f>
        <v>30000</v>
      </c>
      <c r="I37" s="52">
        <f>Opex_NOI!I34</f>
        <v>25000</v>
      </c>
      <c r="J37" s="52">
        <f>Opex_NOI!J34</f>
        <v>25000</v>
      </c>
      <c r="K37" s="64">
        <f t="shared" si="6"/>
        <v>110000</v>
      </c>
      <c r="L37" s="52">
        <f>Opex_NOI!L34</f>
        <v>70000</v>
      </c>
      <c r="M37" s="52">
        <f>Opex_NOI!M34</f>
        <v>55000</v>
      </c>
      <c r="N37" s="52">
        <f>Opex_NOI!N34</f>
        <v>50000</v>
      </c>
      <c r="P37" s="49" t="s">
        <v>817</v>
      </c>
    </row>
    <row r="38" spans="1:16" ht="15" customHeight="1" x14ac:dyDescent="0.2">
      <c r="A38" s="7" t="s">
        <v>818</v>
      </c>
      <c r="B38" s="52">
        <f>Historicals_Q!E61</f>
        <v>4119</v>
      </c>
      <c r="C38" s="52">
        <f>Historicals_Q!F61</f>
        <v>0</v>
      </c>
      <c r="D38" s="50">
        <v>0</v>
      </c>
      <c r="E38" s="50">
        <v>0</v>
      </c>
      <c r="F38" s="64">
        <f t="shared" si="5"/>
        <v>4119</v>
      </c>
      <c r="G38" s="50">
        <v>0</v>
      </c>
      <c r="H38" s="50">
        <v>0</v>
      </c>
      <c r="I38" s="50">
        <v>0</v>
      </c>
      <c r="J38" s="50">
        <v>0</v>
      </c>
      <c r="K38" s="64">
        <f t="shared" si="6"/>
        <v>0</v>
      </c>
      <c r="L38" s="50">
        <v>0</v>
      </c>
      <c r="M38" s="50">
        <v>0</v>
      </c>
      <c r="N38" s="50">
        <v>0</v>
      </c>
    </row>
    <row r="39" spans="1:16" ht="15" customHeight="1" x14ac:dyDescent="0.2">
      <c r="A39" s="7" t="s">
        <v>819</v>
      </c>
      <c r="B39" s="52">
        <f>Opex_NOI!B33</f>
        <v>2835</v>
      </c>
      <c r="C39" s="52">
        <f>Opex_NOI!C33</f>
        <v>4384</v>
      </c>
      <c r="D39" s="52">
        <f>Opex_NOI!D33</f>
        <v>4000</v>
      </c>
      <c r="E39" s="52">
        <f>Opex_NOI!E33</f>
        <v>4000</v>
      </c>
      <c r="F39" s="64">
        <f t="shared" si="5"/>
        <v>15219</v>
      </c>
      <c r="G39" s="52">
        <f>Opex_NOI!G33</f>
        <v>4000</v>
      </c>
      <c r="H39" s="52">
        <f>Opex_NOI!H33</f>
        <v>4000</v>
      </c>
      <c r="I39" s="52">
        <f>Opex_NOI!I33</f>
        <v>4000</v>
      </c>
      <c r="J39" s="52">
        <f>Opex_NOI!J33</f>
        <v>4000</v>
      </c>
      <c r="K39" s="64">
        <f t="shared" si="6"/>
        <v>16000</v>
      </c>
      <c r="L39" s="52">
        <f>Opex_NOI!L33</f>
        <v>16000</v>
      </c>
      <c r="M39" s="52">
        <f>Opex_NOI!M33</f>
        <v>16000</v>
      </c>
      <c r="N39" s="52">
        <f>Opex_NOI!N33</f>
        <v>16000</v>
      </c>
      <c r="P39" s="49" t="s">
        <v>820</v>
      </c>
    </row>
    <row r="40" spans="1:16" ht="15" customHeight="1" x14ac:dyDescent="0.2">
      <c r="A40" s="7" t="s">
        <v>821</v>
      </c>
      <c r="B40" s="52">
        <f>Historicals_Q!E63</f>
        <v>-4398</v>
      </c>
      <c r="C40" s="52">
        <f>Historicals_Q!F63</f>
        <v>-1608</v>
      </c>
      <c r="D40" s="50">
        <v>0</v>
      </c>
      <c r="E40" s="50">
        <v>0</v>
      </c>
      <c r="F40" s="64">
        <f t="shared" si="5"/>
        <v>-6006</v>
      </c>
      <c r="G40" s="50">
        <v>0</v>
      </c>
      <c r="H40" s="50">
        <v>0</v>
      </c>
      <c r="I40" s="50">
        <v>0</v>
      </c>
      <c r="J40" s="50">
        <v>0</v>
      </c>
      <c r="K40" s="64">
        <f t="shared" si="6"/>
        <v>0</v>
      </c>
      <c r="L40" s="50">
        <v>0</v>
      </c>
      <c r="M40" s="50">
        <v>0</v>
      </c>
      <c r="N40" s="50">
        <v>0</v>
      </c>
    </row>
    <row r="41" spans="1:16" ht="15" customHeight="1" x14ac:dyDescent="0.2">
      <c r="A41" s="7" t="s">
        <v>822</v>
      </c>
      <c r="B41" s="52">
        <f>Historicals_Q!E64</f>
        <v>-2538</v>
      </c>
      <c r="C41" s="52">
        <f>Historicals_Q!F64</f>
        <v>13208</v>
      </c>
      <c r="D41" s="50">
        <v>0</v>
      </c>
      <c r="E41" s="50">
        <v>0</v>
      </c>
      <c r="F41" s="64">
        <f t="shared" si="5"/>
        <v>10670</v>
      </c>
      <c r="G41" s="50">
        <v>0</v>
      </c>
      <c r="H41" s="50">
        <v>0</v>
      </c>
      <c r="I41" s="50">
        <v>0</v>
      </c>
      <c r="J41" s="50">
        <v>0</v>
      </c>
      <c r="K41" s="64">
        <f t="shared" si="6"/>
        <v>0</v>
      </c>
      <c r="L41" s="50">
        <v>0</v>
      </c>
      <c r="M41" s="50">
        <v>0</v>
      </c>
      <c r="N41" s="50">
        <v>0</v>
      </c>
    </row>
    <row r="42" spans="1:16" ht="15" customHeight="1" x14ac:dyDescent="0.2">
      <c r="A42" s="3" t="s">
        <v>823</v>
      </c>
      <c r="B42" s="51">
        <f>SUM(B35:B41)</f>
        <v>716070</v>
      </c>
      <c r="C42" s="51">
        <f>SUM(C35:C41)</f>
        <v>955756</v>
      </c>
      <c r="D42" s="51">
        <f>SUM(D35:D41)</f>
        <v>758299.85308674793</v>
      </c>
      <c r="E42" s="51">
        <f>SUM(E35:E41)</f>
        <v>767960.87842239358</v>
      </c>
      <c r="F42" s="51">
        <f t="shared" si="5"/>
        <v>3198086.7315091416</v>
      </c>
      <c r="G42" s="51">
        <f>SUM(G35:G41)</f>
        <v>830076.39193709742</v>
      </c>
      <c r="H42" s="51">
        <f>SUM(H35:H41)</f>
        <v>829116.9404959291</v>
      </c>
      <c r="I42" s="51">
        <f>SUM(I35:I41)</f>
        <v>849059.580497958</v>
      </c>
      <c r="J42" s="51">
        <f>SUM(J35:J41)</f>
        <v>875953.21854377561</v>
      </c>
      <c r="K42" s="51">
        <f t="shared" si="6"/>
        <v>3384206.1314747604</v>
      </c>
      <c r="L42" s="51">
        <f>SUM(L35:L41)</f>
        <v>4013346.325208711</v>
      </c>
      <c r="M42" s="51">
        <f>SUM(M35:M41)</f>
        <v>4443270.8406377537</v>
      </c>
      <c r="N42" s="51">
        <f>SUM(N35:N41)</f>
        <v>4810606.1462395079</v>
      </c>
    </row>
    <row r="43" spans="1:16" ht="15" customHeight="1" x14ac:dyDescent="0.2">
      <c r="A43" s="7" t="s">
        <v>824</v>
      </c>
      <c r="B43" s="52">
        <f>Historicals_Q!E66</f>
        <v>0</v>
      </c>
      <c r="C43" s="52">
        <f>Historicals_Q!F66</f>
        <v>-187871</v>
      </c>
      <c r="D43" s="50">
        <v>0</v>
      </c>
      <c r="E43" s="50">
        <v>0</v>
      </c>
      <c r="F43" s="64">
        <f t="shared" si="5"/>
        <v>-187871</v>
      </c>
      <c r="G43" s="50">
        <v>0</v>
      </c>
      <c r="H43" s="50">
        <v>0</v>
      </c>
      <c r="I43" s="50">
        <v>0</v>
      </c>
      <c r="J43" s="50">
        <v>0</v>
      </c>
      <c r="K43" s="64">
        <f t="shared" si="6"/>
        <v>0</v>
      </c>
      <c r="L43" s="50">
        <v>0</v>
      </c>
      <c r="M43" s="50">
        <v>0</v>
      </c>
      <c r="N43" s="50">
        <v>0</v>
      </c>
      <c r="P43" s="49" t="s">
        <v>1150</v>
      </c>
    </row>
    <row r="44" spans="1:16" ht="15" customHeight="1" x14ac:dyDescent="0.2">
      <c r="A44" s="3" t="s">
        <v>825</v>
      </c>
      <c r="B44" s="53">
        <f>B42+B43</f>
        <v>716070</v>
      </c>
      <c r="C44" s="53">
        <f>C42+C43</f>
        <v>767885</v>
      </c>
      <c r="D44" s="53">
        <f>D42+D43</f>
        <v>758299.85308674793</v>
      </c>
      <c r="E44" s="53">
        <f>E42+E43</f>
        <v>767960.87842239358</v>
      </c>
      <c r="F44" s="53">
        <f t="shared" si="5"/>
        <v>3010215.7315091416</v>
      </c>
      <c r="G44" s="53">
        <f>G42+G43</f>
        <v>830076.39193709742</v>
      </c>
      <c r="H44" s="53">
        <f>H42+H43</f>
        <v>829116.9404959291</v>
      </c>
      <c r="I44" s="53">
        <f>I42+I43</f>
        <v>849059.580497958</v>
      </c>
      <c r="J44" s="53">
        <f>J42+J43</f>
        <v>875953.21854377561</v>
      </c>
      <c r="K44" s="53">
        <f t="shared" si="6"/>
        <v>3384206.1314747604</v>
      </c>
      <c r="L44" s="53">
        <f>L42+L43</f>
        <v>4013346.325208711</v>
      </c>
      <c r="M44" s="53">
        <f>M42+M43</f>
        <v>4443270.8406377537</v>
      </c>
      <c r="N44" s="53">
        <f>N42+N43</f>
        <v>4810606.1462395079</v>
      </c>
    </row>
    <row r="45" spans="1:16" ht="15" customHeight="1" x14ac:dyDescent="0.2">
      <c r="A45" s="7" t="s">
        <v>1151</v>
      </c>
      <c r="B45" s="73">
        <f>Capital!B60</f>
        <v>351293</v>
      </c>
      <c r="C45" s="73">
        <f>Capital!C60</f>
        <v>360648</v>
      </c>
      <c r="D45" s="73">
        <f>Capital!D60</f>
        <v>377645</v>
      </c>
      <c r="E45" s="73">
        <f>Capital!E60</f>
        <v>378645</v>
      </c>
      <c r="F45" s="73">
        <f>Capital!F60</f>
        <v>367117.5</v>
      </c>
      <c r="G45" s="73">
        <f>Capital!G60</f>
        <v>379645</v>
      </c>
      <c r="H45" s="73">
        <f>Capital!H60</f>
        <v>381022.25844487088</v>
      </c>
      <c r="I45" s="73">
        <f>Capital!I60</f>
        <v>382762.84716735734</v>
      </c>
      <c r="J45" s="73">
        <f>Capital!J60</f>
        <v>384672.87572484696</v>
      </c>
      <c r="K45" s="73">
        <f>Capital!K60</f>
        <v>382025.74533426878</v>
      </c>
      <c r="L45" s="73">
        <f>Capital!L60</f>
        <v>390192.83722550998</v>
      </c>
      <c r="M45" s="73">
        <f>Capital!M60</f>
        <v>398570.86434168468</v>
      </c>
      <c r="N45" s="73">
        <f>Capital!N60</f>
        <v>405876.3251885022</v>
      </c>
    </row>
    <row r="46" spans="1:16" ht="15" customHeight="1" x14ac:dyDescent="0.2">
      <c r="A46" s="3" t="s">
        <v>826</v>
      </c>
      <c r="B46" s="78">
        <f t="shared" ref="B46:N46" si="7">B44/B45</f>
        <v>2.0383839131437291</v>
      </c>
      <c r="C46" s="78">
        <f t="shared" si="7"/>
        <v>2.129181362436503</v>
      </c>
      <c r="D46" s="78">
        <f t="shared" si="7"/>
        <v>2.0079700594122731</v>
      </c>
      <c r="E46" s="78">
        <f t="shared" si="7"/>
        <v>2.0281817491909138</v>
      </c>
      <c r="F46" s="78">
        <f t="shared" si="7"/>
        <v>8.19959748992936</v>
      </c>
      <c r="G46" s="78">
        <f t="shared" si="7"/>
        <v>2.1864541662265995</v>
      </c>
      <c r="H46" s="78">
        <f t="shared" si="7"/>
        <v>2.1760328225441241</v>
      </c>
      <c r="I46" s="78">
        <f t="shared" si="7"/>
        <v>2.218239274740057</v>
      </c>
      <c r="J46" s="78">
        <f t="shared" si="7"/>
        <v>2.2771379887214533</v>
      </c>
      <c r="K46" s="78">
        <f t="shared" si="7"/>
        <v>8.858581320255297</v>
      </c>
      <c r="L46" s="78">
        <f t="shared" si="7"/>
        <v>10.285545869436906</v>
      </c>
      <c r="M46" s="78">
        <f t="shared" si="7"/>
        <v>11.148007137894179</v>
      </c>
      <c r="N46" s="78">
        <f t="shared" si="7"/>
        <v>11.852394061184292</v>
      </c>
    </row>
    <row r="48" spans="1:16" ht="15" customHeight="1" x14ac:dyDescent="0.2">
      <c r="A48" s="14" t="s">
        <v>1152</v>
      </c>
      <c r="B48" s="15"/>
      <c r="C48" s="15"/>
      <c r="D48" s="15"/>
      <c r="E48" s="15"/>
      <c r="F48" s="15"/>
      <c r="G48" s="15"/>
      <c r="H48" s="15"/>
      <c r="I48" s="15"/>
      <c r="J48" s="15"/>
      <c r="K48" s="15"/>
      <c r="L48" s="15"/>
      <c r="M48" s="15"/>
      <c r="N48" s="15"/>
    </row>
    <row r="49" spans="1:16" ht="15" customHeight="1" x14ac:dyDescent="0.2">
      <c r="A49" s="7" t="s">
        <v>376</v>
      </c>
      <c r="B49" s="64">
        <f>B42</f>
        <v>716070</v>
      </c>
      <c r="C49" s="64">
        <f>C42</f>
        <v>955756</v>
      </c>
      <c r="D49" s="64">
        <f>D42</f>
        <v>758299.85308674793</v>
      </c>
      <c r="E49" s="64">
        <f>E42</f>
        <v>767960.87842239358</v>
      </c>
      <c r="F49" s="64">
        <f t="shared" ref="F49:F58" si="8">B49+C49+D49+E49</f>
        <v>3198086.7315091416</v>
      </c>
      <c r="G49" s="64">
        <f>G42</f>
        <v>830076.39193709742</v>
      </c>
      <c r="H49" s="64">
        <f>H42</f>
        <v>829116.9404959291</v>
      </c>
      <c r="I49" s="64">
        <f>I42</f>
        <v>849059.580497958</v>
      </c>
      <c r="J49" s="64">
        <f>J42</f>
        <v>875953.21854377561</v>
      </c>
      <c r="K49" s="64">
        <f t="shared" ref="K49:K58" si="9">G49+H49+I49+J49</f>
        <v>3384206.1314747604</v>
      </c>
      <c r="L49" s="64">
        <f>L42</f>
        <v>4013346.325208711</v>
      </c>
      <c r="M49" s="64">
        <f>M42</f>
        <v>4443270.8406377537</v>
      </c>
      <c r="N49" s="64">
        <f>N42</f>
        <v>4810606.1462395079</v>
      </c>
    </row>
    <row r="50" spans="1:16" ht="15" customHeight="1" x14ac:dyDescent="0.2">
      <c r="A50" s="7" t="s">
        <v>827</v>
      </c>
      <c r="B50" s="64">
        <f>B29</f>
        <v>8546</v>
      </c>
      <c r="C50" s="64">
        <f>C29</f>
        <v>8000</v>
      </c>
      <c r="D50" s="64">
        <f>D29</f>
        <v>8000</v>
      </c>
      <c r="E50" s="64">
        <f>E29</f>
        <v>8000</v>
      </c>
      <c r="F50" s="64">
        <f t="shared" si="8"/>
        <v>32546</v>
      </c>
      <c r="G50" s="64">
        <f>G29</f>
        <v>8000</v>
      </c>
      <c r="H50" s="64">
        <f>H29</f>
        <v>8000</v>
      </c>
      <c r="I50" s="64">
        <f>I29</f>
        <v>8000</v>
      </c>
      <c r="J50" s="64">
        <f>J29</f>
        <v>8000</v>
      </c>
      <c r="K50" s="64">
        <f t="shared" si="9"/>
        <v>32000</v>
      </c>
      <c r="L50" s="64">
        <f>L29</f>
        <v>32000</v>
      </c>
      <c r="M50" s="64">
        <f>M29</f>
        <v>32000</v>
      </c>
      <c r="N50" s="64">
        <f>N29</f>
        <v>32000</v>
      </c>
    </row>
    <row r="51" spans="1:16" ht="15" customHeight="1" x14ac:dyDescent="0.2">
      <c r="A51" s="7" t="s">
        <v>828</v>
      </c>
      <c r="B51" s="52">
        <f>Historicals_Q!E78</f>
        <v>6443</v>
      </c>
      <c r="C51" s="52">
        <f>Historicals_Q!F78</f>
        <v>6343</v>
      </c>
      <c r="D51" s="50">
        <v>6400</v>
      </c>
      <c r="E51" s="50">
        <v>6400</v>
      </c>
      <c r="F51" s="64">
        <f t="shared" si="8"/>
        <v>25586</v>
      </c>
      <c r="G51" s="50">
        <v>6400</v>
      </c>
      <c r="H51" s="50">
        <v>6400</v>
      </c>
      <c r="I51" s="50">
        <v>6400</v>
      </c>
      <c r="J51" s="50">
        <v>6400</v>
      </c>
      <c r="K51" s="64">
        <f t="shared" si="9"/>
        <v>25600</v>
      </c>
      <c r="L51" s="50">
        <v>26000</v>
      </c>
      <c r="M51" s="50">
        <v>26000</v>
      </c>
      <c r="N51" s="50">
        <v>26000</v>
      </c>
    </row>
    <row r="52" spans="1:16" ht="15" customHeight="1" x14ac:dyDescent="0.2">
      <c r="A52" s="7" t="s">
        <v>829</v>
      </c>
      <c r="B52" s="52">
        <f>Historicals_Q!E79</f>
        <v>1581</v>
      </c>
      <c r="C52" s="52">
        <f>Historicals_Q!F79</f>
        <v>1595</v>
      </c>
      <c r="D52" s="50">
        <v>1600</v>
      </c>
      <c r="E52" s="50">
        <v>1600</v>
      </c>
      <c r="F52" s="64">
        <f t="shared" si="8"/>
        <v>6376</v>
      </c>
      <c r="G52" s="50">
        <v>1600</v>
      </c>
      <c r="H52" s="50">
        <v>1600</v>
      </c>
      <c r="I52" s="50">
        <v>1600</v>
      </c>
      <c r="J52" s="50">
        <v>1600</v>
      </c>
      <c r="K52" s="64">
        <f t="shared" si="9"/>
        <v>6400</v>
      </c>
      <c r="L52" s="50">
        <v>6500</v>
      </c>
      <c r="M52" s="50">
        <v>6500</v>
      </c>
      <c r="N52" s="50">
        <v>6500</v>
      </c>
    </row>
    <row r="53" spans="1:16" ht="15" customHeight="1" x14ac:dyDescent="0.2">
      <c r="A53" s="7" t="s">
        <v>830</v>
      </c>
      <c r="B53" s="52">
        <f>Historicals_Q!E80</f>
        <v>20908</v>
      </c>
      <c r="C53" s="52">
        <f>Historicals_Q!F80</f>
        <v>21379</v>
      </c>
      <c r="D53" s="50">
        <v>22000</v>
      </c>
      <c r="E53" s="50">
        <v>22000</v>
      </c>
      <c r="F53" s="64">
        <f t="shared" si="8"/>
        <v>86287</v>
      </c>
      <c r="G53" s="50">
        <v>22000</v>
      </c>
      <c r="H53" s="50">
        <v>22000</v>
      </c>
      <c r="I53" s="50">
        <v>22000</v>
      </c>
      <c r="J53" s="50">
        <v>22000</v>
      </c>
      <c r="K53" s="64">
        <f t="shared" si="9"/>
        <v>88000</v>
      </c>
      <c r="L53" s="50">
        <v>92000</v>
      </c>
      <c r="M53" s="50">
        <v>92000</v>
      </c>
      <c r="N53" s="50">
        <v>92000</v>
      </c>
    </row>
    <row r="54" spans="1:16" ht="15" customHeight="1" x14ac:dyDescent="0.2">
      <c r="A54" s="7" t="s">
        <v>831</v>
      </c>
      <c r="B54" s="52">
        <f>-Historicals_Q!E82-Historicals_Q!E83-Historicals_Q!E84</f>
        <v>24158</v>
      </c>
      <c r="C54" s="52">
        <f>-Historicals_Q!F82-Historicals_Q!F83-Historicals_Q!F84</f>
        <v>28519</v>
      </c>
      <c r="D54" s="52">
        <f>Opex_NOI!D27</f>
        <v>46000</v>
      </c>
      <c r="E54" s="52">
        <f>Opex_NOI!E27</f>
        <v>46000</v>
      </c>
      <c r="F54" s="64">
        <f t="shared" si="8"/>
        <v>144677</v>
      </c>
      <c r="G54" s="52">
        <f>Opex_NOI!G27</f>
        <v>45000</v>
      </c>
      <c r="H54" s="52">
        <f>Opex_NOI!H27</f>
        <v>45000</v>
      </c>
      <c r="I54" s="52">
        <f>Opex_NOI!I27</f>
        <v>45000</v>
      </c>
      <c r="J54" s="52">
        <f>Opex_NOI!J27</f>
        <v>45000</v>
      </c>
      <c r="K54" s="64">
        <f t="shared" si="9"/>
        <v>180000</v>
      </c>
      <c r="L54" s="52">
        <f>Opex_NOI!L27</f>
        <v>190000</v>
      </c>
      <c r="M54" s="52">
        <f>Opex_NOI!M27</f>
        <v>200000</v>
      </c>
      <c r="N54" s="52">
        <f>Opex_NOI!N27</f>
        <v>210000</v>
      </c>
      <c r="P54" s="49" t="s">
        <v>832</v>
      </c>
    </row>
    <row r="55" spans="1:16" ht="15" customHeight="1" x14ac:dyDescent="0.2">
      <c r="A55" s="7" t="s">
        <v>833</v>
      </c>
      <c r="B55" s="52">
        <f>Historicals_Q!E85</f>
        <v>-10919</v>
      </c>
      <c r="C55" s="52">
        <f>Historicals_Q!F85</f>
        <v>-12681</v>
      </c>
      <c r="D55" s="50">
        <v>-10000</v>
      </c>
      <c r="E55" s="50">
        <v>-10000</v>
      </c>
      <c r="F55" s="64">
        <f t="shared" si="8"/>
        <v>-43600</v>
      </c>
      <c r="G55" s="50">
        <v>-10000</v>
      </c>
      <c r="H55" s="50">
        <v>-10000</v>
      </c>
      <c r="I55" s="50">
        <v>-10000</v>
      </c>
      <c r="J55" s="50">
        <v>-10000</v>
      </c>
      <c r="K55" s="64">
        <f t="shared" si="9"/>
        <v>-40000</v>
      </c>
      <c r="L55" s="50">
        <v>-40000</v>
      </c>
      <c r="M55" s="50">
        <v>-40000</v>
      </c>
      <c r="N55" s="50">
        <v>-40000</v>
      </c>
    </row>
    <row r="56" spans="1:16" ht="15" customHeight="1" x14ac:dyDescent="0.2">
      <c r="A56" s="7" t="s">
        <v>834</v>
      </c>
      <c r="B56" s="52">
        <f>Historicals_Q!E86</f>
        <v>15476</v>
      </c>
      <c r="C56" s="52">
        <f>Historicals_Q!F86</f>
        <v>13857</v>
      </c>
      <c r="D56" s="50">
        <v>14000</v>
      </c>
      <c r="E56" s="50">
        <v>14000</v>
      </c>
      <c r="F56" s="64">
        <f t="shared" si="8"/>
        <v>57333</v>
      </c>
      <c r="G56" s="50">
        <v>14000</v>
      </c>
      <c r="H56" s="50">
        <v>14000</v>
      </c>
      <c r="I56" s="50">
        <v>14000</v>
      </c>
      <c r="J56" s="50">
        <v>14000</v>
      </c>
      <c r="K56" s="64">
        <f t="shared" si="9"/>
        <v>56000</v>
      </c>
      <c r="L56" s="50">
        <v>58000</v>
      </c>
      <c r="M56" s="50">
        <v>58000</v>
      </c>
      <c r="N56" s="50">
        <v>58000</v>
      </c>
    </row>
    <row r="57" spans="1:16" ht="15" customHeight="1" x14ac:dyDescent="0.2">
      <c r="A57" s="7" t="s">
        <v>835</v>
      </c>
      <c r="B57" s="52">
        <f>-Historicals_Q!E87</f>
        <v>59665</v>
      </c>
      <c r="C57" s="52">
        <f>-Historicals_Q!F87</f>
        <v>76674</v>
      </c>
      <c r="D57" s="52">
        <f>Capital!D29</f>
        <v>110000</v>
      </c>
      <c r="E57" s="52">
        <f>Capital!E29</f>
        <v>165000</v>
      </c>
      <c r="F57" s="64">
        <f t="shared" si="8"/>
        <v>411339</v>
      </c>
      <c r="G57" s="52">
        <f>Capital!G29</f>
        <v>90000</v>
      </c>
      <c r="H57" s="52">
        <f>Capital!H29</f>
        <v>95000</v>
      </c>
      <c r="I57" s="52">
        <f>Capital!I29</f>
        <v>100000</v>
      </c>
      <c r="J57" s="52">
        <f>Capital!J29</f>
        <v>165000</v>
      </c>
      <c r="K57" s="64">
        <f t="shared" si="9"/>
        <v>450000</v>
      </c>
      <c r="L57" s="52">
        <f>Capital!L29</f>
        <v>500000</v>
      </c>
      <c r="M57" s="52">
        <f>Capital!M29</f>
        <v>540000</v>
      </c>
      <c r="N57" s="52">
        <f>Capital!N29</f>
        <v>580000</v>
      </c>
      <c r="P57" s="49" t="s">
        <v>836</v>
      </c>
    </row>
    <row r="58" spans="1:16" ht="15" customHeight="1" x14ac:dyDescent="0.2">
      <c r="A58" s="3" t="s">
        <v>837</v>
      </c>
      <c r="B58" s="53">
        <f>B49+B50+B51+B52+B53-B54+B55+B56-B57</f>
        <v>674282</v>
      </c>
      <c r="C58" s="53">
        <f>C49+C50+C51+C52+C53-C54+C55+C56-C57</f>
        <v>889056</v>
      </c>
      <c r="D58" s="53">
        <f>D49+D50+D51+D52+D53-D54+D55+D56-D57</f>
        <v>644299.85308674793</v>
      </c>
      <c r="E58" s="53">
        <f>E49+E50+E51+E52+E53-E54+E55+E56-E57</f>
        <v>598960.87842239358</v>
      </c>
      <c r="F58" s="53">
        <f t="shared" si="8"/>
        <v>2806598.7315091416</v>
      </c>
      <c r="G58" s="53">
        <f>G49+G50+G51+G52+G53-G54+G55+G56-G57</f>
        <v>737076.39193709742</v>
      </c>
      <c r="H58" s="53">
        <f>H49+H50+H51+H52+H53-H54+H55+H56-H57</f>
        <v>731116.9404959291</v>
      </c>
      <c r="I58" s="53">
        <f>I49+I50+I51+I52+I53-I54+I55+I56-I57</f>
        <v>746059.580497958</v>
      </c>
      <c r="J58" s="53">
        <f>J49+J50+J51+J52+J53-J54+J55+J56-J57</f>
        <v>707953.21854377561</v>
      </c>
      <c r="K58" s="53">
        <f t="shared" si="9"/>
        <v>2922206.1314747604</v>
      </c>
      <c r="L58" s="53">
        <f>L49+L50+L51+L52+L53-L54+L55+L56-L57</f>
        <v>3497846.325208711</v>
      </c>
      <c r="M58" s="53">
        <f>M49+M50+M51+M52+M53-M54+M55+M56-M57</f>
        <v>3877770.8406377537</v>
      </c>
      <c r="N58" s="53">
        <f>N49+N50+N51+N52+N53-N54+N55+N56-N57</f>
        <v>4195106.1462395079</v>
      </c>
    </row>
    <row r="59" spans="1:16" ht="15" customHeight="1" x14ac:dyDescent="0.2">
      <c r="A59" s="3" t="s">
        <v>1153</v>
      </c>
      <c r="B59" s="77">
        <f t="shared" ref="B59:N59" si="10">B58/B45</f>
        <v>1.9194290805680727</v>
      </c>
      <c r="C59" s="77">
        <f t="shared" si="10"/>
        <v>2.4651627071271709</v>
      </c>
      <c r="D59" s="77">
        <f t="shared" si="10"/>
        <v>1.7060992548206595</v>
      </c>
      <c r="E59" s="77">
        <f t="shared" si="10"/>
        <v>1.5818533941353869</v>
      </c>
      <c r="F59" s="77">
        <f t="shared" si="10"/>
        <v>7.6449603505938608</v>
      </c>
      <c r="G59" s="77">
        <f t="shared" si="10"/>
        <v>1.9414884745936267</v>
      </c>
      <c r="H59" s="77">
        <f t="shared" si="10"/>
        <v>1.9188300008507575</v>
      </c>
      <c r="I59" s="77">
        <f t="shared" si="10"/>
        <v>1.9491431470404823</v>
      </c>
      <c r="J59" s="77">
        <f t="shared" si="10"/>
        <v>1.8404032704665356</v>
      </c>
      <c r="K59" s="77">
        <f t="shared" si="10"/>
        <v>7.6492387415352301</v>
      </c>
      <c r="L59" s="77">
        <f t="shared" si="10"/>
        <v>8.9644042419649761</v>
      </c>
      <c r="M59" s="77">
        <f t="shared" si="10"/>
        <v>9.7291879250698052</v>
      </c>
      <c r="N59" s="77">
        <f t="shared" si="10"/>
        <v>10.335922264722299</v>
      </c>
    </row>
    <row r="60" spans="1:16" ht="15" customHeight="1" x14ac:dyDescent="0.2">
      <c r="A60" s="7" t="s">
        <v>731</v>
      </c>
      <c r="B60" s="79">
        <f>Capital!B23</f>
        <v>1.22</v>
      </c>
      <c r="C60" s="79">
        <f>Capital!C23</f>
        <v>1.22</v>
      </c>
      <c r="D60" s="79">
        <f>Capital!D23</f>
        <v>1.22</v>
      </c>
      <c r="E60" s="79">
        <f>Capital!E23</f>
        <v>1.22</v>
      </c>
      <c r="F60" s="80">
        <f>B60+C60+D60+E60</f>
        <v>4.88</v>
      </c>
      <c r="G60" s="79">
        <f>Capital!G23</f>
        <v>1.22</v>
      </c>
      <c r="H60" s="79">
        <f>Capital!H23</f>
        <v>1.22</v>
      </c>
      <c r="I60" s="79">
        <f>Capital!I23</f>
        <v>1.22</v>
      </c>
      <c r="J60" s="79">
        <f>Capital!J23</f>
        <v>1.22</v>
      </c>
      <c r="K60" s="80">
        <f>G60+H60+I60+J60</f>
        <v>4.88</v>
      </c>
      <c r="L60" s="79">
        <f>Capital!L23</f>
        <v>5.05</v>
      </c>
      <c r="M60" s="79">
        <f>Capital!M23</f>
        <v>5.25</v>
      </c>
      <c r="N60" s="79">
        <f>Capital!N23</f>
        <v>5.45</v>
      </c>
    </row>
    <row r="61" spans="1:16" ht="15" customHeight="1" x14ac:dyDescent="0.2">
      <c r="A61" s="7" t="s">
        <v>395</v>
      </c>
      <c r="B61" s="75">
        <f t="shared" ref="B61:N61" si="11">B60/B59</f>
        <v>0.63560566647189165</v>
      </c>
      <c r="C61" s="75">
        <f t="shared" si="11"/>
        <v>0.49489633948817624</v>
      </c>
      <c r="D61" s="75">
        <f t="shared" si="11"/>
        <v>0.71508149162648982</v>
      </c>
      <c r="E61" s="75">
        <f t="shared" si="11"/>
        <v>0.7712471993441784</v>
      </c>
      <c r="F61" s="75">
        <f t="shared" si="11"/>
        <v>0.63832901365157779</v>
      </c>
      <c r="G61" s="75">
        <f t="shared" si="11"/>
        <v>0.62838384876601361</v>
      </c>
      <c r="H61" s="75">
        <f t="shared" si="11"/>
        <v>0.63580410951417521</v>
      </c>
      <c r="I61" s="75">
        <f t="shared" si="11"/>
        <v>0.62591606052762705</v>
      </c>
      <c r="J61" s="75">
        <f t="shared" si="11"/>
        <v>0.66289819170487252</v>
      </c>
      <c r="K61" s="75">
        <f t="shared" si="11"/>
        <v>0.63797198190477267</v>
      </c>
      <c r="L61" s="75">
        <f t="shared" si="11"/>
        <v>0.56333916495638214</v>
      </c>
      <c r="M61" s="75">
        <f t="shared" si="11"/>
        <v>0.53961338196294861</v>
      </c>
      <c r="N61" s="75">
        <f t="shared" si="11"/>
        <v>0.52728724737041432</v>
      </c>
    </row>
    <row r="62" spans="1:16" ht="15" customHeight="1" x14ac:dyDescent="0.2">
      <c r="B62" s="51">
        <f>B58+B43</f>
        <v>674282</v>
      </c>
      <c r="C62" s="51">
        <f>C58+C43</f>
        <v>701185</v>
      </c>
      <c r="D62" s="51">
        <f>D58+D43</f>
        <v>644299.85308674793</v>
      </c>
      <c r="E62" s="51">
        <f>E58+E43</f>
        <v>598960.87842239358</v>
      </c>
      <c r="F62" s="51">
        <f>B62+C62+D62+E62</f>
        <v>2618727.7315091416</v>
      </c>
      <c r="G62" s="51">
        <f>G58+G43</f>
        <v>737076.39193709742</v>
      </c>
      <c r="H62" s="51">
        <f>H58+H43</f>
        <v>731116.9404959291</v>
      </c>
      <c r="I62" s="51">
        <f>I58+I43</f>
        <v>746059.580497958</v>
      </c>
      <c r="J62" s="51">
        <f>J58+J43</f>
        <v>707953.21854377561</v>
      </c>
      <c r="K62" s="51">
        <f>G62+H62+I62+J62</f>
        <v>2922206.1314747604</v>
      </c>
      <c r="L62" s="51">
        <f>L58+L43</f>
        <v>3497846.325208711</v>
      </c>
      <c r="M62" s="51">
        <f>M58+M43</f>
        <v>3877770.8406377537</v>
      </c>
      <c r="N62" s="51">
        <f>N58+N43</f>
        <v>4195106.1462395079</v>
      </c>
      <c r="P62" s="49" t="s">
        <v>838</v>
      </c>
    </row>
    <row r="63" spans="1:16" ht="15" customHeight="1" x14ac:dyDescent="0.2">
      <c r="B63" s="78">
        <f t="shared" ref="B63:N63" si="12">B62/B45</f>
        <v>1.9194290805680727</v>
      </c>
      <c r="C63" s="78">
        <f t="shared" si="12"/>
        <v>1.944236485437324</v>
      </c>
      <c r="D63" s="78">
        <f t="shared" si="12"/>
        <v>1.7060992548206595</v>
      </c>
      <c r="E63" s="78">
        <f t="shared" si="12"/>
        <v>1.5818533941353869</v>
      </c>
      <c r="F63" s="78">
        <f t="shared" si="12"/>
        <v>7.1332141113107976</v>
      </c>
      <c r="G63" s="78">
        <f t="shared" si="12"/>
        <v>1.9414884745936267</v>
      </c>
      <c r="H63" s="78">
        <f t="shared" si="12"/>
        <v>1.9188300008507575</v>
      </c>
      <c r="I63" s="78">
        <f t="shared" si="12"/>
        <v>1.9491431470404823</v>
      </c>
      <c r="J63" s="78">
        <f t="shared" si="12"/>
        <v>1.8404032704665356</v>
      </c>
      <c r="K63" s="78">
        <f t="shared" si="12"/>
        <v>7.6492387415352301</v>
      </c>
      <c r="L63" s="78">
        <f t="shared" si="12"/>
        <v>8.9644042419649761</v>
      </c>
      <c r="M63" s="78">
        <f t="shared" si="12"/>
        <v>9.7291879250698052</v>
      </c>
      <c r="N63" s="78">
        <f t="shared" si="12"/>
        <v>10.335922264722299</v>
      </c>
    </row>
    <row r="64" spans="1:16" ht="15" customHeight="1" x14ac:dyDescent="0.2">
      <c r="B64" s="75">
        <f t="shared" ref="B64:N64" si="13">B60/B63</f>
        <v>0.63560566647189165</v>
      </c>
      <c r="C64" s="75">
        <f t="shared" si="13"/>
        <v>0.62749568230923358</v>
      </c>
      <c r="D64" s="75">
        <f t="shared" si="13"/>
        <v>0.71508149162648982</v>
      </c>
      <c r="E64" s="75">
        <f t="shared" si="13"/>
        <v>0.7712471993441784</v>
      </c>
      <c r="F64" s="75">
        <f t="shared" si="13"/>
        <v>0.68412358354167679</v>
      </c>
      <c r="G64" s="75">
        <f t="shared" si="13"/>
        <v>0.62838384876601361</v>
      </c>
      <c r="H64" s="75">
        <f t="shared" si="13"/>
        <v>0.63580410951417521</v>
      </c>
      <c r="I64" s="75">
        <f t="shared" si="13"/>
        <v>0.62591606052762705</v>
      </c>
      <c r="J64" s="75">
        <f t="shared" si="13"/>
        <v>0.66289819170487252</v>
      </c>
      <c r="K64" s="75">
        <f t="shared" si="13"/>
        <v>0.63797198190477267</v>
      </c>
      <c r="L64" s="75">
        <f t="shared" si="13"/>
        <v>0.56333916495638214</v>
      </c>
      <c r="M64" s="75">
        <f t="shared" si="13"/>
        <v>0.53961338196294861</v>
      </c>
      <c r="N64" s="75">
        <f t="shared" si="13"/>
        <v>0.52728724737041432</v>
      </c>
      <c r="P64" s="49" t="s">
        <v>839</v>
      </c>
    </row>
    <row r="66" spans="1:14" ht="15" customHeight="1" x14ac:dyDescent="0.2">
      <c r="A66" s="14" t="s">
        <v>1154</v>
      </c>
      <c r="B66" s="15"/>
      <c r="C66" s="15"/>
      <c r="D66" s="15"/>
      <c r="E66" s="15"/>
      <c r="F66" s="15"/>
      <c r="G66" s="15"/>
      <c r="H66" s="15"/>
      <c r="I66" s="15"/>
      <c r="J66" s="15"/>
      <c r="K66" s="15"/>
      <c r="L66" s="15"/>
      <c r="M66" s="15"/>
      <c r="N66" s="15"/>
    </row>
    <row r="67" spans="1:14" ht="15" customHeight="1" x14ac:dyDescent="0.2">
      <c r="A67" s="7" t="s">
        <v>840</v>
      </c>
      <c r="B67" s="69">
        <f t="shared" ref="B67:N67" si="14">B31-6100</f>
        <v>353200</v>
      </c>
      <c r="C67" s="69">
        <f t="shared" si="14"/>
        <v>361505</v>
      </c>
      <c r="D67" s="69">
        <f t="shared" si="14"/>
        <v>378502</v>
      </c>
      <c r="E67" s="69">
        <f t="shared" si="14"/>
        <v>379502</v>
      </c>
      <c r="F67" s="69">
        <f t="shared" si="14"/>
        <v>367974.5</v>
      </c>
      <c r="G67" s="69">
        <f t="shared" si="14"/>
        <v>380502</v>
      </c>
      <c r="H67" s="69">
        <f t="shared" si="14"/>
        <v>381879.25844487088</v>
      </c>
      <c r="I67" s="69">
        <f t="shared" si="14"/>
        <v>383619.84716735734</v>
      </c>
      <c r="J67" s="69">
        <f t="shared" si="14"/>
        <v>385529.87572484696</v>
      </c>
      <c r="K67" s="69">
        <f t="shared" si="14"/>
        <v>382882.74533426878</v>
      </c>
      <c r="L67" s="69">
        <f t="shared" si="14"/>
        <v>391049.83722550998</v>
      </c>
      <c r="M67" s="69">
        <f t="shared" si="14"/>
        <v>399427.86434168468</v>
      </c>
      <c r="N67" s="69">
        <f t="shared" si="14"/>
        <v>406733.3251885022</v>
      </c>
    </row>
    <row r="68" spans="1:14" ht="15" customHeight="1" x14ac:dyDescent="0.2">
      <c r="A68" s="3" t="s">
        <v>841</v>
      </c>
      <c r="B68" s="77">
        <f t="shared" ref="B68:N68" si="15">B18/B67</f>
        <v>0.47874292185730466</v>
      </c>
      <c r="C68" s="77">
        <f t="shared" si="15"/>
        <v>1.2257313176857858</v>
      </c>
      <c r="D68" s="77">
        <f t="shared" si="15"/>
        <v>0.72073556569515596</v>
      </c>
      <c r="E68" s="77">
        <f t="shared" si="15"/>
        <v>0.71794319508828297</v>
      </c>
      <c r="F68" s="77">
        <f t="shared" si="15"/>
        <v>3.1454916889869859</v>
      </c>
      <c r="G68" s="77">
        <f t="shared" si="15"/>
        <v>0.655913482549625</v>
      </c>
      <c r="H68" s="77">
        <f t="shared" si="15"/>
        <v>0.61175603369318543</v>
      </c>
      <c r="I68" s="77">
        <f t="shared" si="15"/>
        <v>0.63489827832526913</v>
      </c>
      <c r="J68" s="77">
        <f t="shared" si="15"/>
        <v>0.66260291258489346</v>
      </c>
      <c r="K68" s="77">
        <f t="shared" si="15"/>
        <v>2.5652922296544416</v>
      </c>
      <c r="L68" s="77">
        <f t="shared" si="15"/>
        <v>3.5758775278617874</v>
      </c>
      <c r="M68" s="77">
        <f t="shared" si="15"/>
        <v>4.0639899855588197</v>
      </c>
      <c r="N68" s="77">
        <f t="shared" si="15"/>
        <v>4.488459718400069</v>
      </c>
    </row>
    <row r="70" spans="1:14" ht="15" customHeight="1" x14ac:dyDescent="0.2">
      <c r="A70" s="14" t="s">
        <v>1127</v>
      </c>
      <c r="B70" s="15"/>
      <c r="C70" s="15"/>
      <c r="D70" s="15"/>
      <c r="E70" s="15"/>
      <c r="F70" s="15"/>
      <c r="G70" s="15"/>
      <c r="H70" s="15"/>
      <c r="I70" s="15"/>
      <c r="J70" s="15"/>
      <c r="K70" s="15"/>
      <c r="L70" s="15"/>
      <c r="M70" s="15"/>
      <c r="N70" s="15"/>
    </row>
    <row r="71" spans="1:14" ht="15" customHeight="1" x14ac:dyDescent="0.2">
      <c r="A71" s="3" t="s">
        <v>1155</v>
      </c>
      <c r="B71" s="64">
        <f>B18</f>
        <v>169092</v>
      </c>
    </row>
    <row r="72" spans="1:14" ht="15" customHeight="1" x14ac:dyDescent="0.2">
      <c r="A72" s="7" t="s">
        <v>842</v>
      </c>
      <c r="B72" s="64">
        <f>Historicals_Q!E41</f>
        <v>169092</v>
      </c>
    </row>
    <row r="73" spans="1:14" ht="15" customHeight="1" x14ac:dyDescent="0.2">
      <c r="A73" s="7" t="s">
        <v>843</v>
      </c>
      <c r="B73" s="81">
        <f>B77-B78</f>
        <v>0</v>
      </c>
    </row>
    <row r="74" spans="1:14" ht="15" customHeight="1" x14ac:dyDescent="0.2">
      <c r="A74" s="3" t="s">
        <v>1156</v>
      </c>
      <c r="B74" s="64">
        <f>C18</f>
        <v>443108</v>
      </c>
    </row>
    <row r="75" spans="1:14" ht="15" customHeight="1" x14ac:dyDescent="0.2">
      <c r="A75" s="7" t="s">
        <v>842</v>
      </c>
      <c r="B75" s="64">
        <f>Historicals_Q!F41</f>
        <v>443108</v>
      </c>
    </row>
    <row r="76" spans="1:14" ht="15" customHeight="1" x14ac:dyDescent="0.2">
      <c r="A76" s="7" t="s">
        <v>843</v>
      </c>
      <c r="B76" s="81">
        <f>B77-B78</f>
        <v>0</v>
      </c>
    </row>
    <row r="77" spans="1:14" ht="15" customHeight="1" x14ac:dyDescent="0.2">
      <c r="A77" s="3" t="s">
        <v>1157</v>
      </c>
      <c r="B77" s="64">
        <f>C28</f>
        <v>981906</v>
      </c>
    </row>
    <row r="78" spans="1:14" ht="15" customHeight="1" x14ac:dyDescent="0.2">
      <c r="A78" s="7" t="s">
        <v>842</v>
      </c>
      <c r="B78" s="64">
        <f>Historicals_Q!F53</f>
        <v>981906</v>
      </c>
    </row>
    <row r="79" spans="1:14" ht="15" customHeight="1" x14ac:dyDescent="0.2">
      <c r="A79" s="7" t="s">
        <v>843</v>
      </c>
      <c r="B79" s="81">
        <f>B77-B78</f>
        <v>0</v>
      </c>
    </row>
    <row r="80" spans="1:14" ht="15" customHeight="1" x14ac:dyDescent="0.2">
      <c r="A80" s="3" t="s">
        <v>1158</v>
      </c>
      <c r="B80" s="64">
        <f>C42</f>
        <v>955756</v>
      </c>
    </row>
    <row r="81" spans="1:2" ht="15" customHeight="1" x14ac:dyDescent="0.2">
      <c r="A81" s="7" t="s">
        <v>842</v>
      </c>
      <c r="B81" s="64">
        <f>Historicals_Q!F65</f>
        <v>955756</v>
      </c>
    </row>
    <row r="82" spans="1:2" ht="15" customHeight="1" x14ac:dyDescent="0.2">
      <c r="A82" s="7" t="s">
        <v>843</v>
      </c>
      <c r="B82" s="81">
        <f>B77-B78</f>
        <v>0</v>
      </c>
    </row>
    <row r="83" spans="1:2" ht="15" customHeight="1" x14ac:dyDescent="0.2">
      <c r="A83" s="3" t="s">
        <v>1159</v>
      </c>
      <c r="B83" s="64">
        <f>C58</f>
        <v>889056</v>
      </c>
    </row>
    <row r="84" spans="1:2" ht="15" customHeight="1" x14ac:dyDescent="0.2">
      <c r="A84" s="7" t="s">
        <v>842</v>
      </c>
      <c r="B84" s="64">
        <f>Historicals_Q!F88</f>
        <v>889056</v>
      </c>
    </row>
    <row r="85" spans="1:2" ht="15" customHeight="1" x14ac:dyDescent="0.2">
      <c r="A85" s="7" t="s">
        <v>843</v>
      </c>
      <c r="B85" s="81">
        <f>B83-B84</f>
        <v>0</v>
      </c>
    </row>
    <row r="87" spans="1:2" ht="15" customHeight="1" x14ac:dyDescent="0.2">
      <c r="A87" s="3" t="s">
        <v>844</v>
      </c>
      <c r="B87" s="80">
        <f>F46</f>
        <v>8.19959748992936</v>
      </c>
    </row>
    <row r="88" spans="1:2" ht="15" customHeight="1" x14ac:dyDescent="0.2">
      <c r="A88" s="7" t="s">
        <v>845</v>
      </c>
      <c r="B88" s="80">
        <f>Source_Data!B98</f>
        <v>8.15</v>
      </c>
    </row>
    <row r="89" spans="1:2" ht="15" customHeight="1" x14ac:dyDescent="0.2">
      <c r="A89" s="7" t="s">
        <v>846</v>
      </c>
      <c r="B89" s="80">
        <f>Source_Data!C98</f>
        <v>8.1999999999999993</v>
      </c>
    </row>
    <row r="90" spans="1:2" ht="15" customHeight="1" x14ac:dyDescent="0.2">
      <c r="A90" s="3" t="s">
        <v>665</v>
      </c>
      <c r="B90" s="59" t="str">
        <f>IF(AND(B87&gt;=B88,B87&lt;=B89),"PASS","OUTSIDE")</f>
        <v>PASS</v>
      </c>
    </row>
    <row r="91" spans="1:2" ht="15" customHeight="1" x14ac:dyDescent="0.2">
      <c r="A91" s="3" t="s">
        <v>847</v>
      </c>
      <c r="B91" s="80">
        <f>F32</f>
        <v>8.4634256852823206</v>
      </c>
    </row>
    <row r="92" spans="1:2" ht="15" customHeight="1" x14ac:dyDescent="0.2">
      <c r="A92" s="7" t="s">
        <v>845</v>
      </c>
      <c r="B92" s="80">
        <f>Source_Data!B96</f>
        <v>8.4</v>
      </c>
    </row>
    <row r="93" spans="1:2" ht="15" customHeight="1" x14ac:dyDescent="0.2">
      <c r="A93" s="7" t="s">
        <v>846</v>
      </c>
      <c r="B93" s="80">
        <f>Source_Data!C96</f>
        <v>8.4499999999999993</v>
      </c>
    </row>
    <row r="94" spans="1:2" ht="15" customHeight="1" x14ac:dyDescent="0.2">
      <c r="A94" s="3" t="s">
        <v>665</v>
      </c>
      <c r="B94" s="59" t="str">
        <f>IF(AND(B91&gt;=B92,B91&lt;=B93),"PASS","OUTSIDE")</f>
        <v>OUTSIDE</v>
      </c>
    </row>
    <row r="95" spans="1:2" ht="15" customHeight="1" x14ac:dyDescent="0.2">
      <c r="A95" s="3" t="s">
        <v>848</v>
      </c>
      <c r="B95" s="80">
        <f>F68</f>
        <v>3.1454916889869859</v>
      </c>
    </row>
    <row r="96" spans="1:2" ht="15" customHeight="1" x14ac:dyDescent="0.2">
      <c r="A96" s="7" t="s">
        <v>845</v>
      </c>
      <c r="B96" s="80">
        <f>Source_Data!B95</f>
        <v>3.1</v>
      </c>
    </row>
    <row r="97" spans="1:2" ht="15" customHeight="1" x14ac:dyDescent="0.2">
      <c r="A97" s="7" t="s">
        <v>846</v>
      </c>
      <c r="B97" s="80">
        <f>Source_Data!C95</f>
        <v>3.15</v>
      </c>
    </row>
    <row r="98" spans="1:2" ht="15" customHeight="1" x14ac:dyDescent="0.2">
      <c r="A98" s="3" t="s">
        <v>665</v>
      </c>
      <c r="B98" s="59" t="str">
        <f>IF(AND(B95&gt;=B96,B95&lt;=B97),"PASS","OUTSIDE")</f>
        <v>PASS</v>
      </c>
    </row>
    <row r="99" spans="1:2" ht="15" customHeight="1" x14ac:dyDescent="0.2">
      <c r="A99" s="3" t="s">
        <v>849</v>
      </c>
      <c r="B99" s="80">
        <f>K46</f>
        <v>8.858581320255297</v>
      </c>
    </row>
    <row r="100" spans="1:2" ht="15" customHeight="1" x14ac:dyDescent="0.2">
      <c r="A100" s="7" t="s">
        <v>850</v>
      </c>
      <c r="B100" s="75">
        <f>K46/F46-1</f>
        <v>8.0367826729945246E-2</v>
      </c>
    </row>
    <row r="101" spans="1:2" ht="15" customHeight="1" x14ac:dyDescent="0.2">
      <c r="A101" s="3" t="s">
        <v>851</v>
      </c>
      <c r="B101" s="80">
        <f>F63</f>
        <v>7.1332141113107976</v>
      </c>
    </row>
    <row r="102" spans="1:2" ht="15" customHeight="1" x14ac:dyDescent="0.2">
      <c r="A102" s="3" t="s">
        <v>852</v>
      </c>
      <c r="B102" s="80">
        <f>K63</f>
        <v>7.6492387415352301</v>
      </c>
    </row>
    <row r="103" spans="1:2" ht="15" customHeight="1" x14ac:dyDescent="0.2">
      <c r="A103" s="7" t="s">
        <v>850</v>
      </c>
      <c r="B103" s="75">
        <f>K63/F63-1</f>
        <v>7.2341110496907168E-2</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P66"/>
  <sheetViews>
    <sheetView showGridLines="0" zoomScale="150" zoomScaleNormal="100" workbookViewId="0"/>
  </sheetViews>
  <sheetFormatPr baseColWidth="10" defaultColWidth="8.6640625" defaultRowHeight="15" x14ac:dyDescent="0.2"/>
  <cols>
    <col min="1" max="1" width="46" customWidth="1"/>
    <col min="2" max="14" width="12" customWidth="1"/>
    <col min="16" max="16" width="58" customWidth="1"/>
  </cols>
  <sheetData>
    <row r="1" spans="1:16" ht="15.75" customHeight="1" x14ac:dyDescent="0.2">
      <c r="A1" s="1" t="s">
        <v>1201</v>
      </c>
    </row>
    <row r="2" spans="1:16" ht="15" customHeight="1" x14ac:dyDescent="0.2">
      <c r="A2" s="2" t="s">
        <v>597</v>
      </c>
    </row>
    <row r="3" spans="1:16" ht="15" customHeight="1" x14ac:dyDescent="0.2">
      <c r="A3" s="2" t="s">
        <v>598</v>
      </c>
    </row>
    <row r="5" spans="1:16" ht="15" customHeight="1" x14ac:dyDescent="0.2">
      <c r="A5" s="8" t="s">
        <v>599</v>
      </c>
      <c r="B5" s="13" t="s">
        <v>600</v>
      </c>
      <c r="C5" s="13" t="s">
        <v>601</v>
      </c>
      <c r="D5" s="13" t="s">
        <v>602</v>
      </c>
      <c r="E5" s="13" t="s">
        <v>603</v>
      </c>
      <c r="F5" s="13" t="s">
        <v>604</v>
      </c>
      <c r="G5" s="13" t="s">
        <v>605</v>
      </c>
      <c r="H5" s="13" t="s">
        <v>606</v>
      </c>
      <c r="I5" s="13" t="s">
        <v>607</v>
      </c>
      <c r="J5" s="13" t="s">
        <v>608</v>
      </c>
      <c r="K5" s="13" t="s">
        <v>609</v>
      </c>
      <c r="L5" s="13" t="s">
        <v>610</v>
      </c>
      <c r="M5" s="13" t="s">
        <v>611</v>
      </c>
      <c r="N5" s="13" t="s">
        <v>612</v>
      </c>
      <c r="P5" s="8" t="s">
        <v>613</v>
      </c>
    </row>
    <row r="7" spans="1:16" ht="15" customHeight="1" x14ac:dyDescent="0.2">
      <c r="A7" s="14" t="s">
        <v>1113</v>
      </c>
      <c r="B7" s="15"/>
      <c r="C7" s="15"/>
      <c r="D7" s="15"/>
      <c r="E7" s="15"/>
      <c r="F7" s="15"/>
      <c r="G7" s="15"/>
      <c r="H7" s="15"/>
      <c r="I7" s="15"/>
      <c r="J7" s="15"/>
      <c r="K7" s="15"/>
      <c r="L7" s="15"/>
      <c r="M7" s="15"/>
      <c r="N7" s="15"/>
    </row>
    <row r="8" spans="1:16" ht="15" customHeight="1" x14ac:dyDescent="0.2">
      <c r="A8" s="4" t="s">
        <v>614</v>
      </c>
      <c r="D8" s="48">
        <f>C13</f>
        <v>1674633</v>
      </c>
      <c r="E8" s="48">
        <f>D13</f>
        <v>1748546.6390528253</v>
      </c>
      <c r="G8" s="48">
        <f>E13</f>
        <v>1807461.0052646773</v>
      </c>
      <c r="H8" s="48">
        <f>G13</f>
        <v>1849983.1875991784</v>
      </c>
      <c r="I8" s="48">
        <f>H13</f>
        <v>1876272.0692387074</v>
      </c>
      <c r="J8" s="48">
        <f>I13</f>
        <v>1933758.2146415061</v>
      </c>
      <c r="L8" s="48">
        <f>J13*4</f>
        <v>8074516.1648724331</v>
      </c>
      <c r="M8" s="48">
        <f>L13</f>
        <v>8889920.0355534535</v>
      </c>
      <c r="N8" s="48">
        <f>M13</f>
        <v>9768800.6752690263</v>
      </c>
      <c r="P8" s="49" t="s">
        <v>1114</v>
      </c>
    </row>
    <row r="9" spans="1:16" ht="15" customHeight="1" x14ac:dyDescent="0.2">
      <c r="A9" s="4" t="s">
        <v>615</v>
      </c>
      <c r="D9" s="48">
        <f>D8*D36</f>
        <v>-3359.3609471747154</v>
      </c>
      <c r="E9" s="48">
        <f>E8*E36</f>
        <v>-3507.6337881480085</v>
      </c>
      <c r="G9" s="48">
        <f>G8*G36</f>
        <v>-3625.8176654988342</v>
      </c>
      <c r="H9" s="48">
        <f>H8*H36</f>
        <v>-3711.1183604709063</v>
      </c>
      <c r="I9" s="48">
        <f>I8*I36</f>
        <v>-3763.8545972014208</v>
      </c>
      <c r="J9" s="48">
        <f>J8*J36</f>
        <v>-3879.1734233978291</v>
      </c>
      <c r="L9" s="48">
        <f>L8*L35</f>
        <v>-64596.129318979467</v>
      </c>
      <c r="M9" s="48">
        <f>M8*M35</f>
        <v>-71119.360284427632</v>
      </c>
      <c r="N9" s="48">
        <f>N8*N35</f>
        <v>-78150.405402152217</v>
      </c>
    </row>
    <row r="10" spans="1:16" ht="15" customHeight="1" x14ac:dyDescent="0.2">
      <c r="A10" s="4" t="s">
        <v>616</v>
      </c>
      <c r="D10" s="48">
        <f>D47</f>
        <v>65750</v>
      </c>
      <c r="E10" s="48">
        <f>E47</f>
        <v>79375</v>
      </c>
      <c r="F10" s="48">
        <f>D10+E10</f>
        <v>145125</v>
      </c>
      <c r="G10" s="48">
        <f>G47</f>
        <v>54625</v>
      </c>
      <c r="H10" s="48">
        <f>H47</f>
        <v>30000</v>
      </c>
      <c r="I10" s="48">
        <f>I47</f>
        <v>61250</v>
      </c>
      <c r="J10" s="48">
        <f>J47</f>
        <v>88750</v>
      </c>
      <c r="K10" s="48">
        <f t="shared" ref="K10:K16" si="0">G10+H10+I10+J10</f>
        <v>234625</v>
      </c>
      <c r="L10" s="48">
        <f>L47</f>
        <v>880000</v>
      </c>
      <c r="M10" s="48">
        <f>M47</f>
        <v>950000</v>
      </c>
      <c r="N10" s="48">
        <f>N47</f>
        <v>825000</v>
      </c>
      <c r="P10" s="49" t="s">
        <v>617</v>
      </c>
    </row>
    <row r="11" spans="1:16" ht="15" customHeight="1" x14ac:dyDescent="0.2">
      <c r="A11" s="4" t="s">
        <v>618</v>
      </c>
      <c r="D11" s="50">
        <v>20000</v>
      </c>
      <c r="E11" s="50">
        <v>0</v>
      </c>
      <c r="F11" s="48">
        <f>D11+E11</f>
        <v>20000</v>
      </c>
      <c r="G11" s="50">
        <v>0</v>
      </c>
      <c r="H11" s="50">
        <v>0</v>
      </c>
      <c r="I11" s="50">
        <v>0</v>
      </c>
      <c r="J11" s="50">
        <v>0</v>
      </c>
      <c r="K11" s="48">
        <f t="shared" si="0"/>
        <v>0</v>
      </c>
      <c r="L11" s="50">
        <v>0</v>
      </c>
      <c r="M11" s="50">
        <v>0</v>
      </c>
      <c r="N11" s="50">
        <v>0</v>
      </c>
      <c r="P11" s="49" t="s">
        <v>619</v>
      </c>
    </row>
    <row r="12" spans="1:16" ht="15" customHeight="1" x14ac:dyDescent="0.2">
      <c r="A12" s="4" t="s">
        <v>620</v>
      </c>
      <c r="D12" s="48">
        <f>D56</f>
        <v>8477</v>
      </c>
      <c r="E12" s="48">
        <f>E56</f>
        <v>16953</v>
      </c>
      <c r="F12" s="48">
        <f>D12+E12</f>
        <v>25430</v>
      </c>
      <c r="G12" s="48">
        <f>G56</f>
        <v>8477</v>
      </c>
      <c r="H12" s="48">
        <f>H56</f>
        <v>0</v>
      </c>
      <c r="I12" s="48">
        <f>I56</f>
        <v>0</v>
      </c>
      <c r="J12" s="48">
        <f>J56</f>
        <v>0</v>
      </c>
      <c r="K12" s="48">
        <f t="shared" si="0"/>
        <v>8477</v>
      </c>
      <c r="L12" s="48">
        <f>L56</f>
        <v>0</v>
      </c>
      <c r="M12" s="48">
        <f>M56</f>
        <v>0</v>
      </c>
      <c r="N12" s="48">
        <f>N56</f>
        <v>0</v>
      </c>
    </row>
    <row r="13" spans="1:16" ht="15" customHeight="1" x14ac:dyDescent="0.2">
      <c r="A13" s="3" t="s">
        <v>621</v>
      </c>
      <c r="B13" s="51">
        <f>Historicals_Q!E9+Historicals_Q!E10+Historicals_Q!E11+Historicals_Q!E12</f>
        <v>1600226</v>
      </c>
      <c r="C13" s="51">
        <f>Historicals_Q!F9+Historicals_Q!F10+Historicals_Q!F11+Historicals_Q!F12</f>
        <v>1674633</v>
      </c>
      <c r="D13" s="51">
        <f>D8+D9+D10+D11-D12</f>
        <v>1748546.6390528253</v>
      </c>
      <c r="E13" s="51">
        <f>E8+E9+E10+E11-E12</f>
        <v>1807461.0052646773</v>
      </c>
      <c r="F13" s="51">
        <f>B13+C13+D13+E13</f>
        <v>6830866.6443175022</v>
      </c>
      <c r="G13" s="51">
        <f>G8+G9+G10+G11-G12</f>
        <v>1849983.1875991784</v>
      </c>
      <c r="H13" s="51">
        <f>H8+H9+H10+H11-H12</f>
        <v>1876272.0692387074</v>
      </c>
      <c r="I13" s="51">
        <f>I8+I9+I10+I11-I12</f>
        <v>1933758.2146415061</v>
      </c>
      <c r="J13" s="51">
        <f>J8+J9+J10+J11-J12</f>
        <v>2018629.0412181083</v>
      </c>
      <c r="K13" s="51">
        <f t="shared" si="0"/>
        <v>7678642.5126975002</v>
      </c>
      <c r="L13" s="51">
        <f>L8+L9+L10+L11-L12</f>
        <v>8889920.0355534535</v>
      </c>
      <c r="M13" s="51">
        <f>M8+M9+M10+M11-M12</f>
        <v>9768800.6752690263</v>
      </c>
      <c r="N13" s="51">
        <f>N8+N9+N10+N11-N12</f>
        <v>10515650.269866874</v>
      </c>
      <c r="P13" s="49" t="s">
        <v>622</v>
      </c>
    </row>
    <row r="14" spans="1:16" ht="15" customHeight="1" x14ac:dyDescent="0.2">
      <c r="A14" s="4" t="s">
        <v>623</v>
      </c>
      <c r="B14" s="52">
        <f>Historicals_Q!E13-0</f>
        <v>34899</v>
      </c>
      <c r="C14" s="52">
        <f>Historicals_Q!F13-201000</f>
        <v>47927</v>
      </c>
      <c r="D14" s="50">
        <v>50000</v>
      </c>
      <c r="E14" s="50">
        <v>52000</v>
      </c>
      <c r="F14" s="48">
        <f>B14+C14+D14+E14</f>
        <v>184826</v>
      </c>
      <c r="G14" s="50">
        <v>58000</v>
      </c>
      <c r="H14" s="50">
        <v>60000</v>
      </c>
      <c r="I14" s="50">
        <v>62000</v>
      </c>
      <c r="J14" s="50">
        <v>64000</v>
      </c>
      <c r="K14" s="48">
        <f t="shared" si="0"/>
        <v>244000</v>
      </c>
      <c r="L14" s="50">
        <v>264000</v>
      </c>
      <c r="M14" s="50">
        <v>285000</v>
      </c>
      <c r="N14" s="50">
        <v>300000</v>
      </c>
    </row>
    <row r="15" spans="1:16" ht="15" customHeight="1" x14ac:dyDescent="0.2">
      <c r="A15" s="4" t="s">
        <v>624</v>
      </c>
      <c r="B15" s="52">
        <f>Historicals_Q!E14</f>
        <v>47</v>
      </c>
      <c r="C15" s="52">
        <f>Historicals_Q!F14</f>
        <v>480</v>
      </c>
      <c r="D15" s="50">
        <v>500</v>
      </c>
      <c r="E15" s="50">
        <v>500</v>
      </c>
      <c r="F15" s="48">
        <f>B15+C15+D15+E15</f>
        <v>1527</v>
      </c>
      <c r="G15" s="50">
        <v>500</v>
      </c>
      <c r="H15" s="50">
        <v>500</v>
      </c>
      <c r="I15" s="50">
        <v>500</v>
      </c>
      <c r="J15" s="50">
        <v>500</v>
      </c>
      <c r="K15" s="48">
        <f t="shared" si="0"/>
        <v>2000</v>
      </c>
      <c r="L15" s="50">
        <v>2000</v>
      </c>
      <c r="M15" s="50">
        <v>2000</v>
      </c>
      <c r="N15" s="50">
        <v>2000</v>
      </c>
    </row>
    <row r="16" spans="1:16" ht="15" customHeight="1" x14ac:dyDescent="0.2">
      <c r="A16" s="3" t="s">
        <v>625</v>
      </c>
      <c r="B16" s="51">
        <f>B13+B14+B15</f>
        <v>1635172</v>
      </c>
      <c r="C16" s="51">
        <f>C13+C14+C15</f>
        <v>1723040</v>
      </c>
      <c r="D16" s="53">
        <f>D13+D14+D15</f>
        <v>1799046.6390528253</v>
      </c>
      <c r="E16" s="53">
        <f>E13+E14+E15</f>
        <v>1859961.0052646773</v>
      </c>
      <c r="F16" s="53">
        <f>B16+C16+D16+E16</f>
        <v>7017219.6443175022</v>
      </c>
      <c r="G16" s="53">
        <f>G13+G14+G15</f>
        <v>1908483.1875991784</v>
      </c>
      <c r="H16" s="53">
        <f>H13+H14+H15</f>
        <v>1936772.0692387074</v>
      </c>
      <c r="I16" s="53">
        <f>I13+I14+I15</f>
        <v>1996258.2146415061</v>
      </c>
      <c r="J16" s="53">
        <f>J13+J14+J15</f>
        <v>2083129.0412181083</v>
      </c>
      <c r="K16" s="53">
        <f t="shared" si="0"/>
        <v>7924642.5126975002</v>
      </c>
      <c r="L16" s="53">
        <f>L13+L14+L15</f>
        <v>9155920.0355534535</v>
      </c>
      <c r="M16" s="53">
        <f>M13+M14+M15</f>
        <v>10055800.675269026</v>
      </c>
      <c r="N16" s="53">
        <f>N13+N14+N15</f>
        <v>10817650.269866874</v>
      </c>
    </row>
    <row r="17" spans="1:16" ht="15" customHeight="1" x14ac:dyDescent="0.2">
      <c r="A17" s="4" t="s">
        <v>626</v>
      </c>
      <c r="K17" s="54">
        <f>K16/F16-1</f>
        <v>0.12931373312716854</v>
      </c>
      <c r="L17" s="54">
        <f>L16/K16-1</f>
        <v>0.15537325764324406</v>
      </c>
      <c r="M17" s="54">
        <f>M16/L16-1</f>
        <v>9.828402129127789E-2</v>
      </c>
      <c r="N17" s="54">
        <f>N16/M16-1</f>
        <v>7.5762201260763051E-2</v>
      </c>
    </row>
    <row r="28" spans="1:16" ht="15" customHeight="1" x14ac:dyDescent="0.2">
      <c r="A28" s="14" t="s">
        <v>1115</v>
      </c>
      <c r="B28" s="15"/>
      <c r="C28" s="15"/>
      <c r="D28" s="15"/>
      <c r="E28" s="15"/>
      <c r="F28" s="15"/>
      <c r="G28" s="15"/>
      <c r="H28" s="15"/>
      <c r="I28" s="15"/>
      <c r="J28" s="15"/>
      <c r="K28" s="15"/>
      <c r="L28" s="15"/>
      <c r="M28" s="15"/>
      <c r="N28" s="15"/>
    </row>
    <row r="29" spans="1:16" ht="15" customHeight="1" x14ac:dyDescent="0.2">
      <c r="A29" s="4" t="s">
        <v>627</v>
      </c>
      <c r="D29" s="55">
        <v>2.5000000000000001E-2</v>
      </c>
      <c r="E29" s="55">
        <v>2.5000000000000001E-2</v>
      </c>
      <c r="F29" s="55">
        <v>2.5000000000000001E-2</v>
      </c>
      <c r="G29" s="55">
        <v>2.5000000000000001E-2</v>
      </c>
      <c r="H29" s="55">
        <v>2.5000000000000001E-2</v>
      </c>
      <c r="I29" s="55">
        <v>2.5000000000000001E-2</v>
      </c>
      <c r="J29" s="55">
        <v>2.5000000000000001E-2</v>
      </c>
      <c r="K29" s="55">
        <v>2.5000000000000001E-2</v>
      </c>
      <c r="L29" s="55">
        <v>2.5000000000000001E-2</v>
      </c>
      <c r="M29" s="55">
        <v>2.5000000000000001E-2</v>
      </c>
      <c r="N29" s="55">
        <v>2.5000000000000001E-2</v>
      </c>
      <c r="P29" s="49" t="s">
        <v>628</v>
      </c>
    </row>
    <row r="30" spans="1:16" ht="15" customHeight="1" x14ac:dyDescent="0.2">
      <c r="A30" s="4" t="s">
        <v>629</v>
      </c>
      <c r="D30" s="55">
        <v>0.1</v>
      </c>
      <c r="E30" s="55">
        <v>0.1</v>
      </c>
      <c r="F30" s="55">
        <v>0.1</v>
      </c>
      <c r="G30" s="55">
        <v>0.1</v>
      </c>
      <c r="H30" s="55">
        <v>0.1</v>
      </c>
      <c r="I30" s="55">
        <v>0.1</v>
      </c>
      <c r="J30" s="55">
        <v>0.1</v>
      </c>
      <c r="K30" s="55">
        <v>0.1</v>
      </c>
      <c r="L30" s="55">
        <v>0.1</v>
      </c>
      <c r="M30" s="55">
        <v>0.1</v>
      </c>
      <c r="N30" s="55">
        <v>0.1</v>
      </c>
      <c r="P30" s="49" t="s">
        <v>630</v>
      </c>
    </row>
    <row r="31" spans="1:16" ht="15" customHeight="1" x14ac:dyDescent="0.2">
      <c r="A31" s="4" t="s">
        <v>631</v>
      </c>
      <c r="D31" s="55">
        <v>0.22</v>
      </c>
      <c r="E31" s="55">
        <v>0.22</v>
      </c>
      <c r="F31" s="55">
        <v>0.22</v>
      </c>
      <c r="G31" s="55">
        <v>0.22</v>
      </c>
      <c r="H31" s="55">
        <v>0.22</v>
      </c>
      <c r="I31" s="55">
        <v>0.22</v>
      </c>
      <c r="J31" s="55">
        <v>0.22</v>
      </c>
      <c r="K31" s="55">
        <v>0.22</v>
      </c>
      <c r="L31" s="55">
        <v>0.22</v>
      </c>
      <c r="M31" s="55">
        <v>0.22</v>
      </c>
      <c r="N31" s="55">
        <v>0.22</v>
      </c>
      <c r="P31" s="49" t="s">
        <v>632</v>
      </c>
    </row>
    <row r="32" spans="1:16" ht="15" customHeight="1" x14ac:dyDescent="0.2">
      <c r="A32" s="4" t="s">
        <v>633</v>
      </c>
      <c r="D32" s="56">
        <f t="shared" ref="D32:N32" si="1">D30*D31</f>
        <v>2.2000000000000002E-2</v>
      </c>
      <c r="E32" s="56">
        <f t="shared" si="1"/>
        <v>2.2000000000000002E-2</v>
      </c>
      <c r="F32" s="56">
        <f t="shared" si="1"/>
        <v>2.2000000000000002E-2</v>
      </c>
      <c r="G32" s="56">
        <f t="shared" si="1"/>
        <v>2.2000000000000002E-2</v>
      </c>
      <c r="H32" s="56">
        <f t="shared" si="1"/>
        <v>2.2000000000000002E-2</v>
      </c>
      <c r="I32" s="56">
        <f t="shared" si="1"/>
        <v>2.2000000000000002E-2</v>
      </c>
      <c r="J32" s="56">
        <f t="shared" si="1"/>
        <v>2.2000000000000002E-2</v>
      </c>
      <c r="K32" s="56">
        <f t="shared" si="1"/>
        <v>2.2000000000000002E-2</v>
      </c>
      <c r="L32" s="56">
        <f t="shared" si="1"/>
        <v>2.2000000000000002E-2</v>
      </c>
      <c r="M32" s="56">
        <f t="shared" si="1"/>
        <v>2.2000000000000002E-2</v>
      </c>
      <c r="N32" s="56">
        <f t="shared" si="1"/>
        <v>2.2000000000000002E-2</v>
      </c>
      <c r="P32" s="49" t="s">
        <v>634</v>
      </c>
    </row>
    <row r="33" spans="1:16" ht="15" customHeight="1" x14ac:dyDescent="0.2">
      <c r="A33" s="4" t="s">
        <v>635</v>
      </c>
      <c r="D33" s="55">
        <v>-5.5E-2</v>
      </c>
      <c r="E33" s="55">
        <v>-5.5E-2</v>
      </c>
      <c r="F33" s="55">
        <v>-5.5E-2</v>
      </c>
      <c r="G33" s="55">
        <v>-5.5E-2</v>
      </c>
      <c r="H33" s="55">
        <v>-5.5E-2</v>
      </c>
      <c r="I33" s="55">
        <v>-5.5E-2</v>
      </c>
      <c r="J33" s="55">
        <v>-5.5E-2</v>
      </c>
      <c r="K33" s="55">
        <v>-5.5E-2</v>
      </c>
      <c r="L33" s="55">
        <v>-5.5E-2</v>
      </c>
      <c r="M33" s="55">
        <v>-5.5E-2</v>
      </c>
      <c r="N33" s="55">
        <v>-5.5E-2</v>
      </c>
      <c r="P33" s="49" t="s">
        <v>636</v>
      </c>
    </row>
    <row r="34" spans="1:16" ht="15" customHeight="1" x14ac:dyDescent="0.2">
      <c r="A34" s="4" t="s">
        <v>637</v>
      </c>
      <c r="D34" s="55">
        <v>0</v>
      </c>
      <c r="E34" s="55">
        <v>0</v>
      </c>
      <c r="F34" s="55">
        <v>0</v>
      </c>
      <c r="G34" s="55">
        <v>0</v>
      </c>
      <c r="H34" s="55">
        <v>0</v>
      </c>
      <c r="I34" s="55">
        <v>0</v>
      </c>
      <c r="J34" s="55">
        <v>0</v>
      </c>
      <c r="K34" s="55">
        <v>0</v>
      </c>
      <c r="L34" s="55">
        <v>0</v>
      </c>
      <c r="M34" s="55">
        <v>0</v>
      </c>
      <c r="N34" s="55">
        <v>0</v>
      </c>
      <c r="P34" s="49" t="s">
        <v>1116</v>
      </c>
    </row>
    <row r="35" spans="1:16" ht="15" customHeight="1" x14ac:dyDescent="0.2">
      <c r="A35" s="3" t="s">
        <v>638</v>
      </c>
      <c r="D35" s="57">
        <f t="shared" ref="D35:N35" si="2">D29+D32+D33+D34</f>
        <v>-8.0000000000000002E-3</v>
      </c>
      <c r="E35" s="57">
        <f t="shared" si="2"/>
        <v>-8.0000000000000002E-3</v>
      </c>
      <c r="F35" s="57">
        <f t="shared" si="2"/>
        <v>-8.0000000000000002E-3</v>
      </c>
      <c r="G35" s="57">
        <f t="shared" si="2"/>
        <v>-8.0000000000000002E-3</v>
      </c>
      <c r="H35" s="57">
        <f t="shared" si="2"/>
        <v>-8.0000000000000002E-3</v>
      </c>
      <c r="I35" s="57">
        <f t="shared" si="2"/>
        <v>-8.0000000000000002E-3</v>
      </c>
      <c r="J35" s="57">
        <f t="shared" si="2"/>
        <v>-8.0000000000000002E-3</v>
      </c>
      <c r="K35" s="57">
        <f t="shared" si="2"/>
        <v>-8.0000000000000002E-3</v>
      </c>
      <c r="L35" s="57">
        <f t="shared" si="2"/>
        <v>-8.0000000000000002E-3</v>
      </c>
      <c r="M35" s="57">
        <f t="shared" si="2"/>
        <v>-8.0000000000000002E-3</v>
      </c>
      <c r="N35" s="57">
        <f t="shared" si="2"/>
        <v>-8.0000000000000002E-3</v>
      </c>
    </row>
    <row r="36" spans="1:16" ht="15" customHeight="1" x14ac:dyDescent="0.2">
      <c r="A36" s="4" t="s">
        <v>639</v>
      </c>
      <c r="D36" s="56">
        <f t="shared" ref="D36:N36" si="3">(1+D35)^(1/4)-1</f>
        <v>-2.0060281549298953E-3</v>
      </c>
      <c r="E36" s="56">
        <f t="shared" si="3"/>
        <v>-2.0060281549298953E-3</v>
      </c>
      <c r="F36" s="56">
        <f t="shared" si="3"/>
        <v>-2.0060281549298953E-3</v>
      </c>
      <c r="G36" s="56">
        <f t="shared" si="3"/>
        <v>-2.0060281549298953E-3</v>
      </c>
      <c r="H36" s="56">
        <f t="shared" si="3"/>
        <v>-2.0060281549298953E-3</v>
      </c>
      <c r="I36" s="56">
        <f t="shared" si="3"/>
        <v>-2.0060281549298953E-3</v>
      </c>
      <c r="J36" s="56">
        <f t="shared" si="3"/>
        <v>-2.0060281549298953E-3</v>
      </c>
      <c r="K36" s="56">
        <f t="shared" si="3"/>
        <v>-2.0060281549298953E-3</v>
      </c>
      <c r="L36" s="56">
        <f t="shared" si="3"/>
        <v>-2.0060281549298953E-3</v>
      </c>
      <c r="M36" s="56">
        <f t="shared" si="3"/>
        <v>-2.0060281549298953E-3</v>
      </c>
      <c r="N36" s="56">
        <f t="shared" si="3"/>
        <v>-2.0060281549298953E-3</v>
      </c>
      <c r="P36" s="49" t="s">
        <v>640</v>
      </c>
    </row>
    <row r="37" spans="1:16" ht="15" customHeight="1" x14ac:dyDescent="0.2">
      <c r="A37" s="49"/>
    </row>
    <row r="38" spans="1:16" ht="15" customHeight="1" x14ac:dyDescent="0.2">
      <c r="A38" s="49"/>
    </row>
    <row r="39" spans="1:16" ht="15" customHeight="1" x14ac:dyDescent="0.2">
      <c r="A39" s="14" t="s">
        <v>1117</v>
      </c>
      <c r="B39" s="15"/>
      <c r="C39" s="15"/>
      <c r="D39" s="15"/>
      <c r="E39" s="15"/>
      <c r="F39" s="15"/>
      <c r="G39" s="15"/>
      <c r="H39" s="15"/>
      <c r="I39" s="15"/>
      <c r="J39" s="15"/>
      <c r="K39" s="15"/>
      <c r="L39" s="15"/>
      <c r="M39" s="15"/>
      <c r="N39" s="15"/>
    </row>
    <row r="40" spans="1:16" ht="15" customHeight="1" x14ac:dyDescent="0.2">
      <c r="A40" s="4" t="s">
        <v>641</v>
      </c>
      <c r="D40" s="48">
        <f>C43</f>
        <v>1427000</v>
      </c>
      <c r="E40" s="48">
        <f>D43</f>
        <v>1359000</v>
      </c>
      <c r="G40" s="48">
        <f>E43</f>
        <v>1262000</v>
      </c>
      <c r="H40" s="48">
        <f>G43</f>
        <v>1372000</v>
      </c>
      <c r="I40" s="48">
        <f>H43</f>
        <v>1482000</v>
      </c>
      <c r="J40" s="48">
        <f>I43</f>
        <v>1352000</v>
      </c>
      <c r="L40" s="48">
        <f>K43</f>
        <v>1252000</v>
      </c>
      <c r="M40" s="48">
        <f>L43</f>
        <v>1052000</v>
      </c>
      <c r="N40" s="48">
        <f>M43</f>
        <v>1002000</v>
      </c>
    </row>
    <row r="41" spans="1:16" ht="15" customHeight="1" x14ac:dyDescent="0.2">
      <c r="A41" s="4" t="s">
        <v>642</v>
      </c>
      <c r="D41" s="50">
        <v>250000</v>
      </c>
      <c r="E41" s="50">
        <v>220000</v>
      </c>
      <c r="F41" s="48">
        <f>D41+E41</f>
        <v>470000</v>
      </c>
      <c r="G41" s="50">
        <v>230000</v>
      </c>
      <c r="H41" s="50">
        <v>230000</v>
      </c>
      <c r="I41" s="50">
        <v>240000</v>
      </c>
      <c r="J41" s="50">
        <v>240000</v>
      </c>
      <c r="K41" s="48">
        <f>G41+H41+I41+J41</f>
        <v>940000</v>
      </c>
      <c r="L41" s="50">
        <v>850000</v>
      </c>
      <c r="M41" s="50">
        <v>800000</v>
      </c>
      <c r="N41" s="50">
        <v>750000</v>
      </c>
      <c r="P41" s="49" t="s">
        <v>643</v>
      </c>
    </row>
    <row r="42" spans="1:16" ht="15" customHeight="1" x14ac:dyDescent="0.2">
      <c r="A42" s="4" t="s">
        <v>644</v>
      </c>
      <c r="C42" s="50">
        <v>208000</v>
      </c>
      <c r="D42" s="50">
        <v>318000</v>
      </c>
      <c r="E42" s="50">
        <v>317000</v>
      </c>
      <c r="F42" s="48">
        <f>D42+E42</f>
        <v>635000</v>
      </c>
      <c r="G42" s="50">
        <v>120000</v>
      </c>
      <c r="H42" s="50">
        <v>120000</v>
      </c>
      <c r="I42" s="50">
        <v>370000</v>
      </c>
      <c r="J42" s="50">
        <v>340000</v>
      </c>
      <c r="K42" s="48">
        <f>G42+H42+I42+J42</f>
        <v>950000</v>
      </c>
      <c r="L42" s="50">
        <v>1050000</v>
      </c>
      <c r="M42" s="50">
        <v>850000</v>
      </c>
      <c r="N42" s="50">
        <v>800000</v>
      </c>
      <c r="P42" s="49" t="s">
        <v>645</v>
      </c>
    </row>
    <row r="43" spans="1:16" ht="15" customHeight="1" x14ac:dyDescent="0.2">
      <c r="A43" s="3" t="s">
        <v>646</v>
      </c>
      <c r="C43" s="58">
        <v>1427000</v>
      </c>
      <c r="D43" s="51">
        <f>D40+D41-D42</f>
        <v>1359000</v>
      </c>
      <c r="E43" s="51">
        <f>E40+E41-E42</f>
        <v>1262000</v>
      </c>
      <c r="F43" s="51">
        <f>E43</f>
        <v>1262000</v>
      </c>
      <c r="G43" s="51">
        <f>G40+G41-G42</f>
        <v>1372000</v>
      </c>
      <c r="H43" s="51">
        <f>H40+H41-H42</f>
        <v>1482000</v>
      </c>
      <c r="I43" s="51">
        <f>I40+I41-I42</f>
        <v>1352000</v>
      </c>
      <c r="J43" s="51">
        <f>J40+J41-J42</f>
        <v>1252000</v>
      </c>
      <c r="K43" s="51">
        <f>J43</f>
        <v>1252000</v>
      </c>
      <c r="L43" s="51">
        <f>L40+L41-L42</f>
        <v>1052000</v>
      </c>
      <c r="M43" s="51">
        <f>M40+M41-M42</f>
        <v>1002000</v>
      </c>
      <c r="N43" s="51">
        <f>N40+N41-N42</f>
        <v>952000</v>
      </c>
      <c r="P43" s="49" t="s">
        <v>647</v>
      </c>
    </row>
    <row r="45" spans="1:16" ht="15" customHeight="1" x14ac:dyDescent="0.2">
      <c r="A45" s="4" t="s">
        <v>648</v>
      </c>
      <c r="D45" s="48">
        <f>D42</f>
        <v>318000</v>
      </c>
      <c r="E45" s="48">
        <f>E42</f>
        <v>317000</v>
      </c>
      <c r="G45" s="48">
        <f>G42</f>
        <v>120000</v>
      </c>
      <c r="H45" s="48">
        <f>H42</f>
        <v>120000</v>
      </c>
      <c r="I45" s="48">
        <f>I42</f>
        <v>370000</v>
      </c>
      <c r="J45" s="48">
        <f>J42</f>
        <v>340000</v>
      </c>
      <c r="L45" s="48">
        <f>L42</f>
        <v>1050000</v>
      </c>
      <c r="M45" s="48">
        <f>M42</f>
        <v>850000</v>
      </c>
      <c r="N45" s="48">
        <f>N42</f>
        <v>800000</v>
      </c>
    </row>
    <row r="46" spans="1:16" ht="15" customHeight="1" x14ac:dyDescent="0.2">
      <c r="A46" s="4" t="s">
        <v>649</v>
      </c>
      <c r="D46" s="48">
        <f>C42</f>
        <v>208000</v>
      </c>
      <c r="E46" s="48">
        <f>D42</f>
        <v>318000</v>
      </c>
      <c r="G46" s="48">
        <f>E42</f>
        <v>317000</v>
      </c>
      <c r="H46" s="48">
        <f>G42</f>
        <v>120000</v>
      </c>
      <c r="I46" s="48">
        <f>H42</f>
        <v>120000</v>
      </c>
      <c r="J46" s="48">
        <f>I42</f>
        <v>370000</v>
      </c>
      <c r="L46" s="48">
        <f>0.5*I42+0.5*J42</f>
        <v>355000</v>
      </c>
      <c r="M46" s="48">
        <f>L42</f>
        <v>1050000</v>
      </c>
      <c r="N46" s="48">
        <f>M42</f>
        <v>850000</v>
      </c>
    </row>
    <row r="47" spans="1:16" ht="15" customHeight="1" x14ac:dyDescent="0.2">
      <c r="A47" s="3" t="s">
        <v>650</v>
      </c>
      <c r="D47" s="51">
        <f>0.125*D45+0.125*D46</f>
        <v>65750</v>
      </c>
      <c r="E47" s="51">
        <f>0.125*E45+0.125*E46</f>
        <v>79375</v>
      </c>
      <c r="G47" s="51">
        <f>0.125*G45+0.125*G46</f>
        <v>54625</v>
      </c>
      <c r="H47" s="51">
        <f>0.125*H45+0.125*H46</f>
        <v>30000</v>
      </c>
      <c r="I47" s="51">
        <f>0.125*I45+0.125*I46</f>
        <v>61250</v>
      </c>
      <c r="J47" s="51">
        <f>0.125*J45+0.125*J46</f>
        <v>88750</v>
      </c>
      <c r="L47" s="51">
        <f>0.5*L45+L46</f>
        <v>880000</v>
      </c>
      <c r="M47" s="51">
        <f>0.5*M45+0.5*M46</f>
        <v>950000</v>
      </c>
      <c r="N47" s="51">
        <f>0.5*N45+0.5*N46</f>
        <v>825000</v>
      </c>
      <c r="P47" s="49" t="s">
        <v>651</v>
      </c>
    </row>
    <row r="48" spans="1:16" ht="15" customHeight="1" x14ac:dyDescent="0.2">
      <c r="A48" s="3" t="s">
        <v>652</v>
      </c>
      <c r="B48" s="59" t="str">
        <f>IF(MIN(D43:J43,L43:N43)&gt;=0,"PASS","FAIL")</f>
        <v>PASS</v>
      </c>
    </row>
    <row r="50" spans="1:16" ht="15" customHeight="1" x14ac:dyDescent="0.2">
      <c r="A50" s="14" t="s">
        <v>1118</v>
      </c>
      <c r="B50" s="15"/>
      <c r="C50" s="15"/>
      <c r="D50" s="15"/>
      <c r="E50" s="15"/>
      <c r="F50" s="15"/>
      <c r="G50" s="15"/>
      <c r="H50" s="15"/>
      <c r="I50" s="15"/>
      <c r="J50" s="15"/>
      <c r="K50" s="15"/>
      <c r="L50" s="15"/>
      <c r="M50" s="15"/>
      <c r="N50" s="15"/>
    </row>
    <row r="51" spans="1:16" ht="15" customHeight="1" x14ac:dyDescent="0.2">
      <c r="A51" s="4" t="s">
        <v>653</v>
      </c>
      <c r="B51" s="50">
        <v>7800000</v>
      </c>
      <c r="P51" s="49" t="s">
        <v>654</v>
      </c>
    </row>
    <row r="52" spans="1:16" ht="15" customHeight="1" x14ac:dyDescent="0.2">
      <c r="A52" s="4" t="s">
        <v>655</v>
      </c>
      <c r="B52" s="55">
        <v>6.5000000000000002E-2</v>
      </c>
      <c r="P52" s="49" t="s">
        <v>656</v>
      </c>
    </row>
    <row r="53" spans="1:16" ht="15" customHeight="1" x14ac:dyDescent="0.2">
      <c r="A53" s="4" t="s">
        <v>657</v>
      </c>
      <c r="B53" s="48">
        <f>B51*B52</f>
        <v>507000</v>
      </c>
    </row>
    <row r="54" spans="1:16" ht="15" customHeight="1" x14ac:dyDescent="0.2">
      <c r="A54" s="49" t="s">
        <v>658</v>
      </c>
    </row>
    <row r="55" spans="1:16" ht="15" customHeight="1" x14ac:dyDescent="0.2">
      <c r="A55" s="49" t="s">
        <v>659</v>
      </c>
    </row>
    <row r="56" spans="1:16" ht="15" customHeight="1" x14ac:dyDescent="0.2">
      <c r="A56" s="60" t="s">
        <v>660</v>
      </c>
      <c r="B56" s="15"/>
      <c r="C56" s="15"/>
      <c r="D56" s="50">
        <v>8477</v>
      </c>
      <c r="E56" s="50">
        <v>16953</v>
      </c>
      <c r="F56" s="15"/>
      <c r="G56" s="50">
        <v>8477</v>
      </c>
      <c r="H56" s="50">
        <v>0</v>
      </c>
      <c r="I56" s="50">
        <v>0</v>
      </c>
      <c r="J56" s="50">
        <v>0</v>
      </c>
      <c r="K56" s="15"/>
      <c r="L56" s="50">
        <v>0</v>
      </c>
      <c r="M56" s="50">
        <v>0</v>
      </c>
      <c r="N56" s="50">
        <v>0</v>
      </c>
    </row>
    <row r="57" spans="1:16" ht="15" customHeight="1" x14ac:dyDescent="0.2">
      <c r="A57" s="49" t="s">
        <v>661</v>
      </c>
    </row>
    <row r="59" spans="1:16" ht="15" customHeight="1" x14ac:dyDescent="0.2">
      <c r="A59" s="14" t="s">
        <v>1119</v>
      </c>
      <c r="B59" s="15"/>
      <c r="C59" s="15"/>
      <c r="D59" s="15"/>
      <c r="E59" s="15"/>
      <c r="F59" s="15"/>
      <c r="G59" s="15"/>
      <c r="H59" s="15"/>
      <c r="I59" s="15"/>
      <c r="J59" s="15"/>
      <c r="K59" s="15"/>
      <c r="L59" s="15"/>
      <c r="M59" s="15"/>
      <c r="N59" s="15"/>
    </row>
    <row r="60" spans="1:16" ht="15" customHeight="1" x14ac:dyDescent="0.2">
      <c r="A60" s="3" t="s">
        <v>662</v>
      </c>
      <c r="B60" s="48">
        <f>F16</f>
        <v>7017219.6443175022</v>
      </c>
    </row>
    <row r="61" spans="1:16" ht="15" customHeight="1" x14ac:dyDescent="0.2">
      <c r="A61" s="4" t="s">
        <v>663</v>
      </c>
      <c r="B61" s="52">
        <f>Source_Data!B81*1000</f>
        <v>6850000</v>
      </c>
    </row>
    <row r="62" spans="1:16" ht="15" customHeight="1" x14ac:dyDescent="0.2">
      <c r="A62" s="4" t="s">
        <v>664</v>
      </c>
      <c r="B62" s="52">
        <f>Source_Data!C81*1000</f>
        <v>6950000</v>
      </c>
    </row>
    <row r="63" spans="1:16" ht="15" customHeight="1" x14ac:dyDescent="0.2">
      <c r="A63" s="3" t="s">
        <v>665</v>
      </c>
      <c r="B63" s="59" t="str">
        <f>IF(AND(B60&gt;=B61,B60&lt;=B62),"PASS","ABOVE GUIDANCE - see note")</f>
        <v>ABOVE GUIDANCE - see note</v>
      </c>
    </row>
    <row r="64" spans="1:16" ht="15" customHeight="1" x14ac:dyDescent="0.2">
      <c r="A64" s="3" t="s">
        <v>666</v>
      </c>
      <c r="B64" s="48">
        <f>B60-B62</f>
        <v>67219.644317502156</v>
      </c>
    </row>
    <row r="65" spans="1:2" ht="15" customHeight="1" x14ac:dyDescent="0.2">
      <c r="A65" s="4" t="s">
        <v>667</v>
      </c>
      <c r="B65" s="54">
        <f>B60/B62-1</f>
        <v>9.6718912687052683E-3</v>
      </c>
    </row>
    <row r="66" spans="1:2" ht="15" customHeight="1" x14ac:dyDescent="0.2">
      <c r="A66" s="4" t="s">
        <v>668</v>
      </c>
      <c r="B66" s="48">
        <f>B16+C16</f>
        <v>3358212</v>
      </c>
    </row>
  </sheetData>
  <pageMargins left="0.75" right="0.75" top="1" bottom="1" header="0.511811023622047" footer="0.511811023622047"/>
  <pageSetup paperSize="9" orientation="portrait" horizontalDpi="300" verticalDpi="30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P72"/>
  <sheetViews>
    <sheetView showGridLines="0" zoomScale="159" zoomScaleNormal="100" workbookViewId="0"/>
  </sheetViews>
  <sheetFormatPr baseColWidth="10" defaultColWidth="8.6640625" defaultRowHeight="15" x14ac:dyDescent="0.2"/>
  <cols>
    <col min="1" max="1" width="44" customWidth="1"/>
    <col min="2" max="14" width="12" customWidth="1"/>
    <col min="16" max="16" width="56" customWidth="1"/>
  </cols>
  <sheetData>
    <row r="1" spans="1:16" ht="15.75" customHeight="1" x14ac:dyDescent="0.2">
      <c r="A1" s="1" t="s">
        <v>1202</v>
      </c>
    </row>
    <row r="2" spans="1:16" ht="15" customHeight="1" x14ac:dyDescent="0.2">
      <c r="A2" s="2" t="s">
        <v>669</v>
      </c>
    </row>
    <row r="5" spans="1:16" ht="15" customHeight="1" x14ac:dyDescent="0.2">
      <c r="A5" s="8" t="s">
        <v>599</v>
      </c>
      <c r="B5" s="13" t="s">
        <v>600</v>
      </c>
      <c r="C5" s="13" t="s">
        <v>601</v>
      </c>
      <c r="D5" s="13" t="s">
        <v>602</v>
      </c>
      <c r="E5" s="13" t="s">
        <v>603</v>
      </c>
      <c r="F5" s="13" t="s">
        <v>604</v>
      </c>
      <c r="G5" s="13" t="s">
        <v>605</v>
      </c>
      <c r="H5" s="13" t="s">
        <v>606</v>
      </c>
      <c r="I5" s="13" t="s">
        <v>607</v>
      </c>
      <c r="J5" s="13" t="s">
        <v>608</v>
      </c>
      <c r="K5" s="13" t="s">
        <v>609</v>
      </c>
      <c r="L5" s="13" t="s">
        <v>610</v>
      </c>
      <c r="M5" s="13" t="s">
        <v>611</v>
      </c>
      <c r="N5" s="13" t="s">
        <v>612</v>
      </c>
      <c r="P5" s="8" t="s">
        <v>613</v>
      </c>
    </row>
    <row r="7" spans="1:16" ht="15" customHeight="1" x14ac:dyDescent="0.2">
      <c r="A7" s="14" t="s">
        <v>1120</v>
      </c>
      <c r="B7" s="15"/>
      <c r="C7" s="15"/>
      <c r="D7" s="15"/>
      <c r="E7" s="15"/>
      <c r="F7" s="15"/>
      <c r="G7" s="15"/>
      <c r="H7" s="15"/>
      <c r="I7" s="15"/>
      <c r="J7" s="15"/>
      <c r="K7" s="15"/>
      <c r="L7" s="15"/>
      <c r="M7" s="15"/>
      <c r="N7" s="15"/>
    </row>
    <row r="8" spans="1:16" ht="15" customHeight="1" x14ac:dyDescent="0.2">
      <c r="A8" s="4" t="s">
        <v>621</v>
      </c>
      <c r="B8" s="52">
        <f>Rev_Build!B13</f>
        <v>1600226</v>
      </c>
      <c r="C8" s="52">
        <f>Rev_Build!C13</f>
        <v>1674633</v>
      </c>
      <c r="D8" s="52">
        <f>Rev_Build!D13</f>
        <v>1748546.6390528253</v>
      </c>
      <c r="E8" s="52">
        <f>Rev_Build!E13</f>
        <v>1807461.0052646773</v>
      </c>
      <c r="F8" s="52">
        <f>Rev_Build!F13</f>
        <v>6830866.6443175022</v>
      </c>
      <c r="G8" s="52">
        <f>Rev_Build!G13</f>
        <v>1849983.1875991784</v>
      </c>
      <c r="H8" s="52">
        <f>Rev_Build!H13</f>
        <v>1876272.0692387074</v>
      </c>
      <c r="I8" s="52">
        <f>Rev_Build!I13</f>
        <v>1933758.2146415061</v>
      </c>
      <c r="J8" s="52">
        <f>Rev_Build!J13</f>
        <v>2018629.0412181083</v>
      </c>
      <c r="K8" s="52">
        <f>Rev_Build!K13</f>
        <v>7678642.5126975002</v>
      </c>
      <c r="L8" s="52">
        <f>Rev_Build!L13</f>
        <v>8889920.0355534535</v>
      </c>
      <c r="M8" s="52">
        <f>Rev_Build!M13</f>
        <v>9768800.6752690263</v>
      </c>
      <c r="N8" s="52">
        <f>Rev_Build!N13</f>
        <v>10515650.269866874</v>
      </c>
      <c r="P8" s="49" t="s">
        <v>670</v>
      </c>
    </row>
    <row r="10" spans="1:16" ht="15" customHeight="1" x14ac:dyDescent="0.2">
      <c r="A10" s="4" t="s">
        <v>671</v>
      </c>
      <c r="B10" s="56">
        <f>Historicals_Q!E18/B8</f>
        <v>0.23270775502960206</v>
      </c>
      <c r="C10" s="56">
        <f>Historicals_Q!F18/C8</f>
        <v>0.23674082619893433</v>
      </c>
      <c r="D10" s="61">
        <v>0.24399999999999999</v>
      </c>
      <c r="E10" s="61">
        <v>0.25</v>
      </c>
      <c r="F10" s="56">
        <f>(B16+C16+D16+E16)/F8</f>
        <v>0.24116261040104839</v>
      </c>
      <c r="G10" s="61">
        <v>0.23300000000000001</v>
      </c>
      <c r="H10" s="61">
        <v>0.23699999999999999</v>
      </c>
      <c r="I10" s="61">
        <v>0.24399999999999999</v>
      </c>
      <c r="J10" s="61">
        <v>0.25</v>
      </c>
      <c r="K10" s="56">
        <f>(G16+H16+I16+J16)/K8</f>
        <v>0.24121670265732356</v>
      </c>
      <c r="L10" s="61">
        <v>0.24</v>
      </c>
      <c r="M10" s="61">
        <v>0.24</v>
      </c>
      <c r="N10" s="61">
        <v>0.24</v>
      </c>
      <c r="P10" s="49" t="s">
        <v>672</v>
      </c>
    </row>
    <row r="11" spans="1:16" ht="15" customHeight="1" x14ac:dyDescent="0.2">
      <c r="A11" s="4" t="s">
        <v>673</v>
      </c>
      <c r="B11" s="56">
        <f>Historicals_Q!E19/B8</f>
        <v>0.16629838535306887</v>
      </c>
      <c r="C11" s="56">
        <f>Historicals_Q!F19/C8</f>
        <v>0.17401305241208073</v>
      </c>
      <c r="D11" s="61">
        <v>0.17399999999999999</v>
      </c>
      <c r="E11" s="61">
        <v>0.17799999999999999</v>
      </c>
      <c r="F11" s="56">
        <f>(B17+C17+D17+E17)/F8</f>
        <v>0.17325739701225745</v>
      </c>
      <c r="G11" s="61">
        <v>0.16800000000000001</v>
      </c>
      <c r="H11" s="61">
        <v>0.17399999999999999</v>
      </c>
      <c r="I11" s="61">
        <v>0.17399999999999999</v>
      </c>
      <c r="J11" s="61">
        <v>0.17799999999999999</v>
      </c>
      <c r="K11" s="56">
        <f>(G17+H17+I17+J17)/K8</f>
        <v>0.17360600028511294</v>
      </c>
      <c r="L11" s="61">
        <v>0.17199999999999999</v>
      </c>
      <c r="M11" s="61">
        <v>0.16900000000000001</v>
      </c>
      <c r="N11" s="61">
        <v>0.16600000000000001</v>
      </c>
      <c r="P11" s="49" t="s">
        <v>674</v>
      </c>
    </row>
    <row r="12" spans="1:16" ht="15" customHeight="1" x14ac:dyDescent="0.2">
      <c r="A12" s="4" t="s">
        <v>675</v>
      </c>
      <c r="B12" s="56">
        <f>Historicals_Q!E20/B8</f>
        <v>3.4347648394664254E-2</v>
      </c>
      <c r="C12" s="56">
        <f>Historicals_Q!F20/C8</f>
        <v>3.2938560269623253E-2</v>
      </c>
      <c r="D12" s="61">
        <v>3.3000000000000002E-2</v>
      </c>
      <c r="E12" s="61">
        <v>3.3000000000000002E-2</v>
      </c>
      <c r="F12" s="56">
        <f>(B18+C18+D18+E18)/F8</f>
        <v>3.3300643111179522E-2</v>
      </c>
      <c r="G12" s="61">
        <v>3.3000000000000002E-2</v>
      </c>
      <c r="H12" s="61">
        <v>3.3000000000000002E-2</v>
      </c>
      <c r="I12" s="61">
        <v>3.3000000000000002E-2</v>
      </c>
      <c r="J12" s="61">
        <v>3.3000000000000002E-2</v>
      </c>
      <c r="K12" s="56">
        <f>(G18+H18+I18+J18)/K8</f>
        <v>3.3000000000000002E-2</v>
      </c>
      <c r="L12" s="61">
        <v>3.3000000000000002E-2</v>
      </c>
      <c r="M12" s="61">
        <v>3.3000000000000002E-2</v>
      </c>
      <c r="N12" s="61">
        <v>3.3000000000000002E-2</v>
      </c>
    </row>
    <row r="13" spans="1:16" ht="15" customHeight="1" x14ac:dyDescent="0.2">
      <c r="A13" s="4" t="s">
        <v>676</v>
      </c>
      <c r="B13" s="56">
        <f>Historicals_Q!E21/B8</f>
        <v>2.9989513981150163E-3</v>
      </c>
      <c r="C13" s="56">
        <f>Historicals_Q!F21/C8</f>
        <v>2.8328594981706441E-3</v>
      </c>
      <c r="D13" s="61">
        <v>2.8999999999999998E-3</v>
      </c>
      <c r="E13" s="61">
        <v>2.8999999999999998E-3</v>
      </c>
      <c r="F13" s="56">
        <f>(B19+C19+D19+E19)/F8</f>
        <v>2.9067208016772214E-3</v>
      </c>
      <c r="G13" s="61">
        <v>2.8999999999999998E-3</v>
      </c>
      <c r="H13" s="61">
        <v>2.8999999999999998E-3</v>
      </c>
      <c r="I13" s="61">
        <v>2.8999999999999998E-3</v>
      </c>
      <c r="J13" s="61">
        <v>2.8999999999999998E-3</v>
      </c>
      <c r="K13" s="56">
        <f>(G19+H19+I19+J19)/K8</f>
        <v>2.8999999999999998E-3</v>
      </c>
      <c r="L13" s="61">
        <v>2.8999999999999998E-3</v>
      </c>
      <c r="M13" s="61">
        <v>2.8999999999999998E-3</v>
      </c>
      <c r="N13" s="61">
        <v>2.8999999999999998E-3</v>
      </c>
    </row>
    <row r="14" spans="1:16" ht="15" customHeight="1" x14ac:dyDescent="0.2">
      <c r="A14" s="3" t="s">
        <v>677</v>
      </c>
      <c r="B14" s="62">
        <f t="shared" ref="B14:N14" si="0">B10+B11+B12+B13</f>
        <v>0.43635274017545017</v>
      </c>
      <c r="C14" s="62">
        <f t="shared" si="0"/>
        <v>0.446525298378809</v>
      </c>
      <c r="D14" s="62">
        <f t="shared" si="0"/>
        <v>0.45389999999999997</v>
      </c>
      <c r="E14" s="62">
        <f t="shared" si="0"/>
        <v>0.46389999999999998</v>
      </c>
      <c r="F14" s="62">
        <f t="shared" si="0"/>
        <v>0.4506273713261626</v>
      </c>
      <c r="G14" s="62">
        <f t="shared" si="0"/>
        <v>0.43690000000000007</v>
      </c>
      <c r="H14" s="62">
        <f t="shared" si="0"/>
        <v>0.44689999999999996</v>
      </c>
      <c r="I14" s="62">
        <f t="shared" si="0"/>
        <v>0.45389999999999997</v>
      </c>
      <c r="J14" s="62">
        <f t="shared" si="0"/>
        <v>0.46389999999999998</v>
      </c>
      <c r="K14" s="62">
        <f t="shared" si="0"/>
        <v>0.45072270294243655</v>
      </c>
      <c r="L14" s="62">
        <f t="shared" si="0"/>
        <v>0.44789999999999996</v>
      </c>
      <c r="M14" s="62">
        <f t="shared" si="0"/>
        <v>0.44490000000000007</v>
      </c>
      <c r="N14" s="62">
        <f t="shared" si="0"/>
        <v>0.44190000000000007</v>
      </c>
    </row>
    <row r="16" spans="1:16" ht="15" customHeight="1" x14ac:dyDescent="0.2">
      <c r="A16" s="4" t="s">
        <v>678</v>
      </c>
      <c r="B16" s="48">
        <f>B8*B10</f>
        <v>372385</v>
      </c>
      <c r="C16" s="48">
        <f>C8*C10</f>
        <v>396454</v>
      </c>
      <c r="D16" s="48">
        <f>D8*D10</f>
        <v>426645.37992888934</v>
      </c>
      <c r="E16" s="48">
        <f>E8*E10</f>
        <v>451865.25131616934</v>
      </c>
      <c r="F16" s="48">
        <f>B16+C16+D16+E16</f>
        <v>1647349.6312450585</v>
      </c>
      <c r="G16" s="48">
        <f>G8*G10</f>
        <v>431046.08271060861</v>
      </c>
      <c r="H16" s="48">
        <f>H8*H10</f>
        <v>444676.48040957365</v>
      </c>
      <c r="I16" s="48">
        <f>I8*I10</f>
        <v>471837.00437252747</v>
      </c>
      <c r="J16" s="48">
        <f>J8*J10</f>
        <v>504657.26030452707</v>
      </c>
      <c r="K16" s="48">
        <f>G16+H16+I16+J16</f>
        <v>1852216.8277972369</v>
      </c>
      <c r="L16" s="48">
        <f>L8*L10</f>
        <v>2133580.8085328289</v>
      </c>
      <c r="M16" s="48">
        <f>M8*M10</f>
        <v>2344512.1620645663</v>
      </c>
      <c r="N16" s="48">
        <f>N8*N10</f>
        <v>2523756.0647680499</v>
      </c>
    </row>
    <row r="17" spans="1:16" ht="15" customHeight="1" x14ac:dyDescent="0.2">
      <c r="A17" s="4" t="s">
        <v>679</v>
      </c>
      <c r="B17" s="48">
        <f>B8*B11</f>
        <v>266115</v>
      </c>
      <c r="C17" s="48">
        <f>C8*C11</f>
        <v>291408</v>
      </c>
      <c r="D17" s="48">
        <f>D8*D11</f>
        <v>304247.11519519158</v>
      </c>
      <c r="E17" s="48">
        <f>E8*E11</f>
        <v>321728.05893711257</v>
      </c>
      <c r="F17" s="48">
        <f>B17+C17+D17+E17</f>
        <v>1183498.1741323043</v>
      </c>
      <c r="G17" s="48">
        <f>G8*G11</f>
        <v>310797.17551666201</v>
      </c>
      <c r="H17" s="48">
        <f>H8*H11</f>
        <v>326471.34004753508</v>
      </c>
      <c r="I17" s="48">
        <f>I8*I11</f>
        <v>336473.92934762203</v>
      </c>
      <c r="J17" s="48">
        <f>J8*J11</f>
        <v>359315.96933682327</v>
      </c>
      <c r="K17" s="48">
        <f>G17+H17+I17+J17</f>
        <v>1333058.4142486425</v>
      </c>
      <c r="L17" s="48">
        <f>L8*L11</f>
        <v>1529066.2461151939</v>
      </c>
      <c r="M17" s="48">
        <f>M8*M11</f>
        <v>1650927.3141204657</v>
      </c>
      <c r="N17" s="48">
        <f>N8*N11</f>
        <v>1745597.9447979012</v>
      </c>
    </row>
    <row r="18" spans="1:16" ht="15" customHeight="1" x14ac:dyDescent="0.2">
      <c r="A18" s="4" t="s">
        <v>680</v>
      </c>
      <c r="B18" s="48">
        <f>B8*B12</f>
        <v>54964</v>
      </c>
      <c r="C18" s="48">
        <f>C8*C12</f>
        <v>55160</v>
      </c>
      <c r="D18" s="48">
        <f>D8*D12</f>
        <v>57702.039088743237</v>
      </c>
      <c r="E18" s="48">
        <f>E8*E12</f>
        <v>59646.213173734352</v>
      </c>
      <c r="F18" s="48">
        <f>B18+C18+D18+E18</f>
        <v>227472.25226247759</v>
      </c>
      <c r="G18" s="48">
        <f>G8*G12</f>
        <v>61049.445190772887</v>
      </c>
      <c r="H18" s="48">
        <f>H8*H12</f>
        <v>61916.978284877347</v>
      </c>
      <c r="I18" s="48">
        <f>I8*I12</f>
        <v>63814.021083169704</v>
      </c>
      <c r="J18" s="48">
        <f>J8*J12</f>
        <v>66614.758360197578</v>
      </c>
      <c r="K18" s="48">
        <f>G18+H18+I18+J18</f>
        <v>253395.20291901752</v>
      </c>
      <c r="L18" s="48">
        <f>L8*L12</f>
        <v>293367.36117326398</v>
      </c>
      <c r="M18" s="48">
        <f>M8*M12</f>
        <v>322370.42228387791</v>
      </c>
      <c r="N18" s="48">
        <f>N8*N12</f>
        <v>347016.45890560688</v>
      </c>
    </row>
    <row r="19" spans="1:16" ht="15" customHeight="1" x14ac:dyDescent="0.2">
      <c r="A19" s="4" t="s">
        <v>681</v>
      </c>
      <c r="B19" s="48">
        <f>B8*B13</f>
        <v>4799</v>
      </c>
      <c r="C19" s="48">
        <f>C8*C13</f>
        <v>4744</v>
      </c>
      <c r="D19" s="48">
        <f>D8*D13</f>
        <v>5070.7852532531933</v>
      </c>
      <c r="E19" s="48">
        <f>E8*E13</f>
        <v>5241.6369152675643</v>
      </c>
      <c r="F19" s="48">
        <f>B19+C19+D19+E19</f>
        <v>19855.422168520759</v>
      </c>
      <c r="G19" s="48">
        <f>G8*G13</f>
        <v>5364.9512440376166</v>
      </c>
      <c r="H19" s="48">
        <f>H8*H13</f>
        <v>5441.1890007922511</v>
      </c>
      <c r="I19" s="48">
        <f>I8*I13</f>
        <v>5607.8988224603672</v>
      </c>
      <c r="J19" s="48">
        <f>J8*J13</f>
        <v>5854.0242195325136</v>
      </c>
      <c r="K19" s="48">
        <f>G19+H19+I19+J19</f>
        <v>22268.063286822748</v>
      </c>
      <c r="L19" s="48">
        <f>L8*L13</f>
        <v>25780.768103105012</v>
      </c>
      <c r="M19" s="48">
        <f>M8*M13</f>
        <v>28329.521958280173</v>
      </c>
      <c r="N19" s="48">
        <f>N8*N13</f>
        <v>30495.385782613936</v>
      </c>
    </row>
    <row r="20" spans="1:16" ht="15" customHeight="1" x14ac:dyDescent="0.2">
      <c r="A20" s="3" t="s">
        <v>682</v>
      </c>
      <c r="B20" s="51">
        <f t="shared" ref="B20:N20" si="1">SUM(B16:B19)</f>
        <v>698263</v>
      </c>
      <c r="C20" s="51">
        <f t="shared" si="1"/>
        <v>747766</v>
      </c>
      <c r="D20" s="51">
        <f t="shared" si="1"/>
        <v>793665.31946607737</v>
      </c>
      <c r="E20" s="51">
        <f t="shared" si="1"/>
        <v>838481.16034228378</v>
      </c>
      <c r="F20" s="51">
        <f t="shared" si="1"/>
        <v>3078175.4798083613</v>
      </c>
      <c r="G20" s="51">
        <f t="shared" si="1"/>
        <v>808257.65466208104</v>
      </c>
      <c r="H20" s="51">
        <f t="shared" si="1"/>
        <v>838505.98774277838</v>
      </c>
      <c r="I20" s="51">
        <f t="shared" si="1"/>
        <v>877732.85362577962</v>
      </c>
      <c r="J20" s="51">
        <f t="shared" si="1"/>
        <v>936442.01222108037</v>
      </c>
      <c r="K20" s="51">
        <f t="shared" si="1"/>
        <v>3460938.5082517196</v>
      </c>
      <c r="L20" s="51">
        <f t="shared" si="1"/>
        <v>3981795.1839243919</v>
      </c>
      <c r="M20" s="51">
        <f t="shared" si="1"/>
        <v>4346139.4204271901</v>
      </c>
      <c r="N20" s="51">
        <f t="shared" si="1"/>
        <v>4646865.8542541722</v>
      </c>
    </row>
    <row r="22" spans="1:16" ht="15" customHeight="1" x14ac:dyDescent="0.2">
      <c r="A22" s="14" t="s">
        <v>1121</v>
      </c>
      <c r="B22" s="15"/>
      <c r="C22" s="15"/>
      <c r="D22" s="15"/>
      <c r="E22" s="15"/>
      <c r="F22" s="15"/>
      <c r="G22" s="15"/>
      <c r="H22" s="15"/>
      <c r="I22" s="15"/>
      <c r="J22" s="15"/>
      <c r="K22" s="15"/>
      <c r="L22" s="15"/>
      <c r="M22" s="15"/>
      <c r="N22" s="15"/>
    </row>
    <row r="23" spans="1:16" ht="15" customHeight="1" x14ac:dyDescent="0.2">
      <c r="A23" s="4" t="s">
        <v>621</v>
      </c>
      <c r="B23" s="48">
        <f t="shared" ref="B23:N23" si="2">B8</f>
        <v>1600226</v>
      </c>
      <c r="C23" s="48">
        <f t="shared" si="2"/>
        <v>1674633</v>
      </c>
      <c r="D23" s="48">
        <f t="shared" si="2"/>
        <v>1748546.6390528253</v>
      </c>
      <c r="E23" s="48">
        <f t="shared" si="2"/>
        <v>1807461.0052646773</v>
      </c>
      <c r="F23" s="48">
        <f t="shared" si="2"/>
        <v>6830866.6443175022</v>
      </c>
      <c r="G23" s="48">
        <f t="shared" si="2"/>
        <v>1849983.1875991784</v>
      </c>
      <c r="H23" s="48">
        <f t="shared" si="2"/>
        <v>1876272.0692387074</v>
      </c>
      <c r="I23" s="48">
        <f t="shared" si="2"/>
        <v>1933758.2146415061</v>
      </c>
      <c r="J23" s="48">
        <f t="shared" si="2"/>
        <v>2018629.0412181083</v>
      </c>
      <c r="K23" s="48">
        <f t="shared" si="2"/>
        <v>7678642.5126975002</v>
      </c>
      <c r="L23" s="48">
        <f t="shared" si="2"/>
        <v>8889920.0355534535</v>
      </c>
      <c r="M23" s="48">
        <f t="shared" si="2"/>
        <v>9768800.6752690263</v>
      </c>
      <c r="N23" s="48">
        <f t="shared" si="2"/>
        <v>10515650.269866874</v>
      </c>
    </row>
    <row r="24" spans="1:16" ht="15" customHeight="1" x14ac:dyDescent="0.2">
      <c r="A24" s="4" t="s">
        <v>683</v>
      </c>
      <c r="B24" s="48">
        <f t="shared" ref="B24:N24" si="3">B20</f>
        <v>698263</v>
      </c>
      <c r="C24" s="48">
        <f t="shared" si="3"/>
        <v>747766</v>
      </c>
      <c r="D24" s="48">
        <f t="shared" si="3"/>
        <v>793665.31946607737</v>
      </c>
      <c r="E24" s="48">
        <f t="shared" si="3"/>
        <v>838481.16034228378</v>
      </c>
      <c r="F24" s="48">
        <f t="shared" si="3"/>
        <v>3078175.4798083613</v>
      </c>
      <c r="G24" s="48">
        <f t="shared" si="3"/>
        <v>808257.65466208104</v>
      </c>
      <c r="H24" s="48">
        <f t="shared" si="3"/>
        <v>838505.98774277838</v>
      </c>
      <c r="I24" s="48">
        <f t="shared" si="3"/>
        <v>877732.85362577962</v>
      </c>
      <c r="J24" s="48">
        <f t="shared" si="3"/>
        <v>936442.01222108037</v>
      </c>
      <c r="K24" s="48">
        <f t="shared" si="3"/>
        <v>3460938.5082517196</v>
      </c>
      <c r="L24" s="48">
        <f t="shared" si="3"/>
        <v>3981795.1839243919</v>
      </c>
      <c r="M24" s="48">
        <f t="shared" si="3"/>
        <v>4346139.4204271901</v>
      </c>
      <c r="N24" s="48">
        <f t="shared" si="3"/>
        <v>4646865.8542541722</v>
      </c>
    </row>
    <row r="25" spans="1:16" ht="15" customHeight="1" x14ac:dyDescent="0.2">
      <c r="A25" s="3" t="s">
        <v>684</v>
      </c>
      <c r="B25" s="53">
        <f t="shared" ref="B25:N25" si="4">B23-B24</f>
        <v>901963</v>
      </c>
      <c r="C25" s="53">
        <f t="shared" si="4"/>
        <v>926867</v>
      </c>
      <c r="D25" s="53">
        <f t="shared" si="4"/>
        <v>954881.31958674791</v>
      </c>
      <c r="E25" s="53">
        <f t="shared" si="4"/>
        <v>968979.84492239356</v>
      </c>
      <c r="F25" s="53">
        <f t="shared" si="4"/>
        <v>3752691.1645091409</v>
      </c>
      <c r="G25" s="53">
        <f t="shared" si="4"/>
        <v>1041725.5329370974</v>
      </c>
      <c r="H25" s="53">
        <f t="shared" si="4"/>
        <v>1037766.081495929</v>
      </c>
      <c r="I25" s="53">
        <f t="shared" si="4"/>
        <v>1056025.3610157263</v>
      </c>
      <c r="J25" s="53">
        <f t="shared" si="4"/>
        <v>1082187.0289970278</v>
      </c>
      <c r="K25" s="53">
        <f t="shared" si="4"/>
        <v>4217704.0044457801</v>
      </c>
      <c r="L25" s="53">
        <f t="shared" si="4"/>
        <v>4908124.8516290616</v>
      </c>
      <c r="M25" s="53">
        <f t="shared" si="4"/>
        <v>5422661.2548418362</v>
      </c>
      <c r="N25" s="53">
        <f t="shared" si="4"/>
        <v>5868784.4156127023</v>
      </c>
    </row>
    <row r="26" spans="1:16" ht="15" customHeight="1" x14ac:dyDescent="0.2">
      <c r="A26" s="4" t="s">
        <v>131</v>
      </c>
      <c r="B26" s="56">
        <f t="shared" ref="B26:N26" si="5">B25/B23</f>
        <v>0.56364725982454977</v>
      </c>
      <c r="C26" s="56">
        <f t="shared" si="5"/>
        <v>0.55347470162119106</v>
      </c>
      <c r="D26" s="56">
        <f t="shared" si="5"/>
        <v>0.54610000000000003</v>
      </c>
      <c r="E26" s="56">
        <f t="shared" si="5"/>
        <v>0.53610000000000002</v>
      </c>
      <c r="F26" s="56">
        <f t="shared" si="5"/>
        <v>0.5493726286738374</v>
      </c>
      <c r="G26" s="56">
        <f t="shared" si="5"/>
        <v>0.56310000000000004</v>
      </c>
      <c r="H26" s="56">
        <f t="shared" si="5"/>
        <v>0.55310000000000004</v>
      </c>
      <c r="I26" s="56">
        <f t="shared" si="5"/>
        <v>0.54609999999999992</v>
      </c>
      <c r="J26" s="56">
        <f t="shared" si="5"/>
        <v>0.53610000000000002</v>
      </c>
      <c r="K26" s="56">
        <f t="shared" si="5"/>
        <v>0.54927729705756345</v>
      </c>
      <c r="L26" s="56">
        <f t="shared" si="5"/>
        <v>0.55210000000000004</v>
      </c>
      <c r="M26" s="56">
        <f t="shared" si="5"/>
        <v>0.55509999999999993</v>
      </c>
      <c r="N26" s="56">
        <f t="shared" si="5"/>
        <v>0.55809999999999993</v>
      </c>
    </row>
    <row r="27" spans="1:16" ht="15" customHeight="1" x14ac:dyDescent="0.2">
      <c r="A27" s="4" t="s">
        <v>685</v>
      </c>
      <c r="B27" s="50">
        <v>24243</v>
      </c>
      <c r="C27" s="50">
        <v>28534</v>
      </c>
      <c r="D27" s="50">
        <v>46000</v>
      </c>
      <c r="E27" s="50">
        <v>46000</v>
      </c>
      <c r="F27" s="48">
        <f>B27+C27+D27+E27</f>
        <v>144777</v>
      </c>
      <c r="G27" s="50">
        <v>45000</v>
      </c>
      <c r="H27" s="50">
        <v>45000</v>
      </c>
      <c r="I27" s="50">
        <v>45000</v>
      </c>
      <c r="J27" s="50">
        <v>45000</v>
      </c>
      <c r="K27" s="48">
        <f>G27+H27+I27+J27</f>
        <v>180000</v>
      </c>
      <c r="L27" s="50">
        <v>190000</v>
      </c>
      <c r="M27" s="50">
        <v>200000</v>
      </c>
      <c r="N27" s="50">
        <v>210000</v>
      </c>
      <c r="P27" s="49" t="s">
        <v>686</v>
      </c>
    </row>
    <row r="28" spans="1:16" ht="15" customHeight="1" x14ac:dyDescent="0.2">
      <c r="A28" s="3" t="s">
        <v>687</v>
      </c>
      <c r="B28" s="51">
        <f t="shared" ref="B28:N28" si="6">B25-B27</f>
        <v>877720</v>
      </c>
      <c r="C28" s="51">
        <f t="shared" si="6"/>
        <v>898333</v>
      </c>
      <c r="D28" s="51">
        <f t="shared" si="6"/>
        <v>908881.31958674791</v>
      </c>
      <c r="E28" s="51">
        <f t="shared" si="6"/>
        <v>922979.84492239356</v>
      </c>
      <c r="F28" s="51">
        <f t="shared" si="6"/>
        <v>3607914.1645091409</v>
      </c>
      <c r="G28" s="51">
        <f t="shared" si="6"/>
        <v>996725.53293709736</v>
      </c>
      <c r="H28" s="51">
        <f t="shared" si="6"/>
        <v>992766.08149592904</v>
      </c>
      <c r="I28" s="51">
        <f t="shared" si="6"/>
        <v>1011025.3610157263</v>
      </c>
      <c r="J28" s="51">
        <f t="shared" si="6"/>
        <v>1037187.0289970278</v>
      </c>
      <c r="K28" s="51">
        <f t="shared" si="6"/>
        <v>4037704.0044457801</v>
      </c>
      <c r="L28" s="51">
        <f t="shared" si="6"/>
        <v>4718124.8516290616</v>
      </c>
      <c r="M28" s="51">
        <f t="shared" si="6"/>
        <v>5222661.2548418362</v>
      </c>
      <c r="N28" s="51">
        <f t="shared" si="6"/>
        <v>5658784.4156127023</v>
      </c>
    </row>
    <row r="30" spans="1:16" ht="15" customHeight="1" x14ac:dyDescent="0.2">
      <c r="A30" s="14" t="s">
        <v>1122</v>
      </c>
      <c r="B30" s="15"/>
      <c r="C30" s="15"/>
      <c r="D30" s="15"/>
      <c r="E30" s="15"/>
      <c r="F30" s="15"/>
      <c r="G30" s="15"/>
      <c r="H30" s="15"/>
      <c r="I30" s="15"/>
      <c r="J30" s="15"/>
      <c r="K30" s="15"/>
      <c r="L30" s="15"/>
      <c r="M30" s="15"/>
      <c r="N30" s="15"/>
    </row>
    <row r="31" spans="1:16" ht="15" customHeight="1" x14ac:dyDescent="0.2">
      <c r="A31" s="4" t="s">
        <v>688</v>
      </c>
      <c r="B31" s="52">
        <f>Historicals_Q!E23</f>
        <v>151923</v>
      </c>
      <c r="C31" s="52">
        <f>Historicals_Q!F23</f>
        <v>153316</v>
      </c>
      <c r="D31" s="50">
        <v>157000</v>
      </c>
      <c r="E31" s="50">
        <v>160000</v>
      </c>
      <c r="F31" s="48">
        <f>B31+C31+D31+E31</f>
        <v>622239</v>
      </c>
      <c r="G31" s="50">
        <v>163000</v>
      </c>
      <c r="H31" s="50">
        <v>165000</v>
      </c>
      <c r="I31" s="50">
        <v>167000</v>
      </c>
      <c r="J31" s="50">
        <v>170000</v>
      </c>
      <c r="K31" s="48">
        <f>G31+H31+I31+J31</f>
        <v>665000</v>
      </c>
      <c r="L31" s="50">
        <v>715000</v>
      </c>
      <c r="M31" s="50">
        <v>765000</v>
      </c>
      <c r="N31" s="50">
        <v>810000</v>
      </c>
      <c r="P31" s="49" t="s">
        <v>689</v>
      </c>
    </row>
    <row r="32" spans="1:16" ht="15" customHeight="1" x14ac:dyDescent="0.2">
      <c r="A32" s="4" t="s">
        <v>690</v>
      </c>
      <c r="B32" s="56">
        <f>B31/Rev_Build!B16</f>
        <v>9.2909492090128748E-2</v>
      </c>
      <c r="C32" s="56">
        <f>C31/Rev_Build!C16</f>
        <v>8.8979942427337727E-2</v>
      </c>
      <c r="D32" s="56">
        <f>D31/Rev_Build!D16</f>
        <v>8.7268443514426322E-2</v>
      </c>
      <c r="E32" s="56">
        <f>E31/Rev_Build!E16</f>
        <v>8.6023308847397895E-2</v>
      </c>
      <c r="F32" s="56">
        <f>F31/Rev_Build!F16</f>
        <v>8.8673154260446307E-2</v>
      </c>
      <c r="G32" s="56">
        <f>G31/Rev_Build!G16</f>
        <v>8.5408140380345554E-2</v>
      </c>
      <c r="H32" s="56">
        <f>H31/Rev_Build!H16</f>
        <v>8.5193297972774376E-2</v>
      </c>
      <c r="I32" s="56">
        <f>I31/Rev_Build!I16</f>
        <v>8.3656512356539176E-2</v>
      </c>
      <c r="J32" s="56">
        <f>J31/Rev_Build!J16</f>
        <v>8.1608002498295848E-2</v>
      </c>
      <c r="K32" s="56">
        <f>K31/Rev_Build!K16</f>
        <v>8.391545725053004E-2</v>
      </c>
      <c r="L32" s="56">
        <f>L31/Rev_Build!L16</f>
        <v>7.8091551392276873E-2</v>
      </c>
      <c r="M32" s="56">
        <f>M31/Rev_Build!M16</f>
        <v>7.6075493608522005E-2</v>
      </c>
      <c r="N32" s="56">
        <f>N31/Rev_Build!N16</f>
        <v>7.4877628671015273E-2</v>
      </c>
    </row>
    <row r="33" spans="1:16" ht="15" customHeight="1" x14ac:dyDescent="0.2">
      <c r="A33" s="4" t="s">
        <v>691</v>
      </c>
      <c r="B33" s="52">
        <f>Historicals_Q!E24</f>
        <v>2835</v>
      </c>
      <c r="C33" s="52">
        <f>Historicals_Q!F24</f>
        <v>4384</v>
      </c>
      <c r="D33" s="50">
        <v>4000</v>
      </c>
      <c r="E33" s="50">
        <v>4000</v>
      </c>
      <c r="F33" s="48">
        <f>B33+C33+D33+E33</f>
        <v>15219</v>
      </c>
      <c r="G33" s="50">
        <v>4000</v>
      </c>
      <c r="H33" s="50">
        <v>4000</v>
      </c>
      <c r="I33" s="50">
        <v>4000</v>
      </c>
      <c r="J33" s="50">
        <v>4000</v>
      </c>
      <c r="K33" s="48">
        <f>G33+H33+I33+J33</f>
        <v>16000</v>
      </c>
      <c r="L33" s="50">
        <v>16000</v>
      </c>
      <c r="M33" s="50">
        <v>16000</v>
      </c>
      <c r="N33" s="50">
        <v>16000</v>
      </c>
      <c r="P33" s="49" t="s">
        <v>1123</v>
      </c>
    </row>
    <row r="34" spans="1:16" ht="15" customHeight="1" x14ac:dyDescent="0.2">
      <c r="A34" s="4" t="s">
        <v>692</v>
      </c>
      <c r="B34" s="52">
        <f>Historicals_Q!E25</f>
        <v>15685</v>
      </c>
      <c r="C34" s="52">
        <f>Historicals_Q!F25</f>
        <v>38703</v>
      </c>
      <c r="D34" s="50">
        <v>55000</v>
      </c>
      <c r="E34" s="50">
        <v>55000</v>
      </c>
      <c r="F34" s="48">
        <f>B34+C34+D34+E34</f>
        <v>164388</v>
      </c>
      <c r="G34" s="50">
        <v>30000</v>
      </c>
      <c r="H34" s="50">
        <v>30000</v>
      </c>
      <c r="I34" s="50">
        <v>25000</v>
      </c>
      <c r="J34" s="50">
        <v>25000</v>
      </c>
      <c r="K34" s="48">
        <f>G34+H34+I34+J34</f>
        <v>110000</v>
      </c>
      <c r="L34" s="50">
        <v>70000</v>
      </c>
      <c r="M34" s="50">
        <v>55000</v>
      </c>
      <c r="N34" s="50">
        <v>50000</v>
      </c>
      <c r="P34" s="49" t="s">
        <v>1124</v>
      </c>
    </row>
    <row r="35" spans="1:16" ht="15" customHeight="1" x14ac:dyDescent="0.2">
      <c r="A35" s="4" t="s">
        <v>693</v>
      </c>
      <c r="B35" s="52">
        <f>Historicals_Q!E27</f>
        <v>23</v>
      </c>
      <c r="C35" s="52">
        <f>Historicals_Q!F27</f>
        <v>13508</v>
      </c>
      <c r="D35" s="50">
        <v>1000</v>
      </c>
      <c r="E35" s="50">
        <v>1000</v>
      </c>
      <c r="F35" s="48">
        <f>B35+C35+D35+E35</f>
        <v>15531</v>
      </c>
      <c r="G35" s="50">
        <v>1000</v>
      </c>
      <c r="H35" s="50">
        <v>1000</v>
      </c>
      <c r="I35" s="50">
        <v>1000</v>
      </c>
      <c r="J35" s="50">
        <v>1000</v>
      </c>
      <c r="K35" s="48">
        <f>G35+H35+I35+J35</f>
        <v>4000</v>
      </c>
      <c r="L35" s="50">
        <v>4000</v>
      </c>
      <c r="M35" s="50">
        <v>4000</v>
      </c>
      <c r="N35" s="50">
        <v>4000</v>
      </c>
    </row>
    <row r="36" spans="1:16" ht="15" customHeight="1" x14ac:dyDescent="0.2">
      <c r="A36" s="4" t="s">
        <v>694</v>
      </c>
      <c r="B36" s="52">
        <f>Historicals_Q!E22</f>
        <v>499511</v>
      </c>
      <c r="C36" s="52">
        <f>Historicals_Q!F22</f>
        <v>507106</v>
      </c>
      <c r="D36" s="50">
        <v>550000</v>
      </c>
      <c r="E36" s="50">
        <v>560000</v>
      </c>
      <c r="F36" s="48">
        <f>B36+C36+D36+E36</f>
        <v>2116617</v>
      </c>
      <c r="G36" s="50">
        <v>575000</v>
      </c>
      <c r="H36" s="50">
        <v>590000</v>
      </c>
      <c r="I36" s="50">
        <v>605000</v>
      </c>
      <c r="J36" s="50">
        <v>620000</v>
      </c>
      <c r="K36" s="48">
        <f>G36+H36+I36+J36</f>
        <v>2390000</v>
      </c>
      <c r="L36" s="50">
        <v>2650000</v>
      </c>
      <c r="M36" s="50">
        <v>2870000</v>
      </c>
      <c r="N36" s="50">
        <v>3040000</v>
      </c>
      <c r="P36" s="49" t="s">
        <v>695</v>
      </c>
    </row>
    <row r="38" spans="1:16" ht="15" customHeight="1" x14ac:dyDescent="0.2">
      <c r="A38" s="14" t="s">
        <v>1125</v>
      </c>
      <c r="B38" s="15"/>
      <c r="C38" s="15"/>
      <c r="D38" s="15"/>
      <c r="E38" s="15"/>
      <c r="F38" s="15"/>
      <c r="G38" s="15"/>
      <c r="H38" s="15"/>
      <c r="I38" s="15"/>
      <c r="J38" s="15"/>
      <c r="K38" s="15"/>
      <c r="L38" s="15"/>
      <c r="M38" s="15"/>
      <c r="N38" s="15"/>
    </row>
    <row r="39" spans="1:16" ht="15" customHeight="1" x14ac:dyDescent="0.2">
      <c r="A39" s="4" t="s">
        <v>486</v>
      </c>
      <c r="B39" s="48">
        <f t="shared" ref="B39:N39" si="7">B25</f>
        <v>901963</v>
      </c>
      <c r="C39" s="48">
        <f t="shared" si="7"/>
        <v>926867</v>
      </c>
      <c r="D39" s="48">
        <f t="shared" si="7"/>
        <v>954881.31958674791</v>
      </c>
      <c r="E39" s="48">
        <f t="shared" si="7"/>
        <v>968979.84492239356</v>
      </c>
      <c r="F39" s="48">
        <f t="shared" si="7"/>
        <v>3752691.1645091409</v>
      </c>
      <c r="G39" s="48">
        <f t="shared" si="7"/>
        <v>1041725.5329370974</v>
      </c>
      <c r="H39" s="48">
        <f t="shared" si="7"/>
        <v>1037766.081495929</v>
      </c>
      <c r="I39" s="48">
        <f t="shared" si="7"/>
        <v>1056025.3610157263</v>
      </c>
      <c r="J39" s="48">
        <f t="shared" si="7"/>
        <v>1082187.0289970278</v>
      </c>
      <c r="K39" s="48">
        <f t="shared" si="7"/>
        <v>4217704.0044457801</v>
      </c>
      <c r="L39" s="48">
        <f t="shared" si="7"/>
        <v>4908124.8516290616</v>
      </c>
      <c r="M39" s="48">
        <f t="shared" si="7"/>
        <v>5422661.2548418362</v>
      </c>
      <c r="N39" s="48">
        <f t="shared" si="7"/>
        <v>5868784.4156127023</v>
      </c>
    </row>
    <row r="40" spans="1:16" ht="15" customHeight="1" x14ac:dyDescent="0.2">
      <c r="A40" s="4" t="s">
        <v>696</v>
      </c>
      <c r="B40" s="52">
        <f>Rev_Build!B14</f>
        <v>34899</v>
      </c>
      <c r="C40" s="52">
        <f>Rev_Build!C14</f>
        <v>47927</v>
      </c>
      <c r="D40" s="52">
        <f>Rev_Build!D14</f>
        <v>50000</v>
      </c>
      <c r="E40" s="52">
        <f>Rev_Build!E14</f>
        <v>52000</v>
      </c>
      <c r="F40" s="52">
        <f>Rev_Build!F14</f>
        <v>184826</v>
      </c>
      <c r="G40" s="52">
        <f>Rev_Build!G14</f>
        <v>58000</v>
      </c>
      <c r="H40" s="52">
        <f>Rev_Build!H14</f>
        <v>60000</v>
      </c>
      <c r="I40" s="52">
        <f>Rev_Build!I14</f>
        <v>62000</v>
      </c>
      <c r="J40" s="52">
        <f>Rev_Build!J14</f>
        <v>64000</v>
      </c>
      <c r="K40" s="52">
        <f>Rev_Build!K14</f>
        <v>244000</v>
      </c>
      <c r="L40" s="52">
        <f>Rev_Build!L14</f>
        <v>264000</v>
      </c>
      <c r="M40" s="52">
        <f>Rev_Build!M14</f>
        <v>285000</v>
      </c>
      <c r="N40" s="52">
        <f>Rev_Build!N14</f>
        <v>300000</v>
      </c>
    </row>
    <row r="41" spans="1:16" ht="15" customHeight="1" x14ac:dyDescent="0.2">
      <c r="A41" s="4" t="s">
        <v>624</v>
      </c>
      <c r="B41" s="52">
        <f>Rev_Build!B15</f>
        <v>47</v>
      </c>
      <c r="C41" s="52">
        <f>Rev_Build!C15</f>
        <v>480</v>
      </c>
      <c r="D41" s="52">
        <f>Rev_Build!D15</f>
        <v>500</v>
      </c>
      <c r="E41" s="52">
        <f>Rev_Build!E15</f>
        <v>500</v>
      </c>
      <c r="F41" s="52">
        <f>Rev_Build!F15</f>
        <v>1527</v>
      </c>
      <c r="G41" s="52">
        <f>Rev_Build!G15</f>
        <v>500</v>
      </c>
      <c r="H41" s="52">
        <f>Rev_Build!H15</f>
        <v>500</v>
      </c>
      <c r="I41" s="52">
        <f>Rev_Build!I15</f>
        <v>500</v>
      </c>
      <c r="J41" s="52">
        <f>Rev_Build!J15</f>
        <v>500</v>
      </c>
      <c r="K41" s="52">
        <f>Rev_Build!K15</f>
        <v>2000</v>
      </c>
      <c r="L41" s="52">
        <f>Rev_Build!L15</f>
        <v>2000</v>
      </c>
      <c r="M41" s="52">
        <f>Rev_Build!M15</f>
        <v>2000</v>
      </c>
      <c r="N41" s="52">
        <f>Rev_Build!N15</f>
        <v>2000</v>
      </c>
    </row>
    <row r="42" spans="1:16" ht="15" customHeight="1" x14ac:dyDescent="0.2">
      <c r="A42" s="4" t="s">
        <v>697</v>
      </c>
      <c r="B42" s="48">
        <f t="shared" ref="B42:N42" si="8">B31</f>
        <v>151923</v>
      </c>
      <c r="C42" s="48">
        <f t="shared" si="8"/>
        <v>153316</v>
      </c>
      <c r="D42" s="48">
        <f t="shared" si="8"/>
        <v>157000</v>
      </c>
      <c r="E42" s="48">
        <f t="shared" si="8"/>
        <v>160000</v>
      </c>
      <c r="F42" s="48">
        <f t="shared" si="8"/>
        <v>622239</v>
      </c>
      <c r="G42" s="48">
        <f t="shared" si="8"/>
        <v>163000</v>
      </c>
      <c r="H42" s="48">
        <f t="shared" si="8"/>
        <v>165000</v>
      </c>
      <c r="I42" s="48">
        <f t="shared" si="8"/>
        <v>167000</v>
      </c>
      <c r="J42" s="48">
        <f t="shared" si="8"/>
        <v>170000</v>
      </c>
      <c r="K42" s="48">
        <f t="shared" si="8"/>
        <v>665000</v>
      </c>
      <c r="L42" s="48">
        <f t="shared" si="8"/>
        <v>715000</v>
      </c>
      <c r="M42" s="48">
        <f t="shared" si="8"/>
        <v>765000</v>
      </c>
      <c r="N42" s="48">
        <f t="shared" si="8"/>
        <v>810000</v>
      </c>
    </row>
    <row r="43" spans="1:16" ht="15" customHeight="1" x14ac:dyDescent="0.2">
      <c r="A43" s="4" t="s">
        <v>698</v>
      </c>
      <c r="B43" s="50">
        <v>94272</v>
      </c>
      <c r="C43" s="50">
        <v>100150</v>
      </c>
      <c r="D43" s="50">
        <v>88000</v>
      </c>
      <c r="E43" s="50">
        <v>89000</v>
      </c>
      <c r="F43" s="48">
        <f>B43+C43+D43+E43</f>
        <v>371422</v>
      </c>
      <c r="G43" s="50">
        <v>90000</v>
      </c>
      <c r="H43" s="50">
        <v>91000</v>
      </c>
      <c r="I43" s="50">
        <v>92000</v>
      </c>
      <c r="J43" s="50">
        <v>93000</v>
      </c>
      <c r="K43" s="48">
        <f>G43+H43+I43+J43</f>
        <v>366000</v>
      </c>
      <c r="L43" s="50">
        <v>385000</v>
      </c>
      <c r="M43" s="50">
        <v>400000</v>
      </c>
      <c r="N43" s="50">
        <v>415000</v>
      </c>
      <c r="P43" s="49" t="s">
        <v>699</v>
      </c>
    </row>
    <row r="44" spans="1:16" ht="15" customHeight="1" x14ac:dyDescent="0.2">
      <c r="A44" s="4" t="s">
        <v>700</v>
      </c>
      <c r="B44" s="50">
        <v>41049</v>
      </c>
      <c r="C44" s="50">
        <v>55481</v>
      </c>
      <c r="D44" s="50">
        <v>40000</v>
      </c>
      <c r="E44" s="50">
        <v>40000</v>
      </c>
      <c r="F44" s="48">
        <f>B44+C44+D44+E44</f>
        <v>176530</v>
      </c>
      <c r="G44" s="50">
        <v>40000</v>
      </c>
      <c r="H44" s="50">
        <v>40000</v>
      </c>
      <c r="I44" s="50">
        <v>40000</v>
      </c>
      <c r="J44" s="50">
        <v>40000</v>
      </c>
      <c r="K44" s="48">
        <f>G44+H44+I44+J44</f>
        <v>160000</v>
      </c>
      <c r="L44" s="50">
        <v>160000</v>
      </c>
      <c r="M44" s="50">
        <v>160000</v>
      </c>
      <c r="N44" s="50">
        <v>160000</v>
      </c>
      <c r="P44" s="49" t="s">
        <v>701</v>
      </c>
    </row>
    <row r="45" spans="1:16" ht="15" customHeight="1" x14ac:dyDescent="0.2">
      <c r="A45" s="3" t="s">
        <v>702</v>
      </c>
      <c r="B45" s="53">
        <f t="shared" ref="B45:N45" si="9">B39+B40+B41-B42+B43+B44</f>
        <v>920307</v>
      </c>
      <c r="C45" s="53">
        <f t="shared" si="9"/>
        <v>977589</v>
      </c>
      <c r="D45" s="53">
        <f t="shared" si="9"/>
        <v>976381.31958674791</v>
      </c>
      <c r="E45" s="53">
        <f t="shared" si="9"/>
        <v>990479.84492239356</v>
      </c>
      <c r="F45" s="53">
        <f t="shared" si="9"/>
        <v>3864757.1645091409</v>
      </c>
      <c r="G45" s="53">
        <f t="shared" si="9"/>
        <v>1067225.5329370974</v>
      </c>
      <c r="H45" s="53">
        <f t="shared" si="9"/>
        <v>1064266.081495929</v>
      </c>
      <c r="I45" s="53">
        <f t="shared" si="9"/>
        <v>1083525.3610157263</v>
      </c>
      <c r="J45" s="53">
        <f t="shared" si="9"/>
        <v>1109687.0289970278</v>
      </c>
      <c r="K45" s="53">
        <f t="shared" si="9"/>
        <v>4324704.0044457801</v>
      </c>
      <c r="L45" s="53">
        <f t="shared" si="9"/>
        <v>5004124.8516290616</v>
      </c>
      <c r="M45" s="53">
        <f t="shared" si="9"/>
        <v>5504661.2548418362</v>
      </c>
      <c r="N45" s="53">
        <f t="shared" si="9"/>
        <v>5935784.4156127023</v>
      </c>
    </row>
    <row r="46" spans="1:16" ht="15" customHeight="1" x14ac:dyDescent="0.2">
      <c r="A46" s="4" t="s">
        <v>703</v>
      </c>
      <c r="B46" s="56">
        <f>B45/Rev_Build!B16</f>
        <v>0.56281969113952535</v>
      </c>
      <c r="C46" s="56">
        <f>C45/Rev_Build!C16</f>
        <v>0.56736291670535799</v>
      </c>
      <c r="D46" s="56">
        <f>D45/Rev_Build!D16</f>
        <v>0.54272151615858055</v>
      </c>
      <c r="E46" s="56">
        <f>E45/Rev_Build!E16</f>
        <v>0.5325272100430114</v>
      </c>
      <c r="F46" s="56">
        <f>F45/Rev_Build!F16</f>
        <v>0.55075334112404417</v>
      </c>
      <c r="G46" s="56">
        <f>G45/Rev_Build!G16</f>
        <v>0.55920090880110873</v>
      </c>
      <c r="H46" s="56">
        <f>H45/Rev_Build!H16</f>
        <v>0.54950507517090696</v>
      </c>
      <c r="I46" s="56">
        <f>I45/Rev_Build!I16</f>
        <v>0.54277816019422565</v>
      </c>
      <c r="J46" s="56">
        <f>J45/Rev_Build!J16</f>
        <v>0.53270201079244661</v>
      </c>
      <c r="K46" s="56">
        <f>K45/Rev_Build!K16</f>
        <v>0.54572859249062544</v>
      </c>
      <c r="L46" s="56">
        <f>L45/Rev_Build!L16</f>
        <v>0.54654527695714794</v>
      </c>
      <c r="M46" s="56">
        <f>M45/Rev_Build!M16</f>
        <v>0.54741153216967164</v>
      </c>
      <c r="N46" s="56">
        <f>N45/Rev_Build!N16</f>
        <v>0.54871291523882382</v>
      </c>
    </row>
    <row r="48" spans="1:16" ht="15" customHeight="1" x14ac:dyDescent="0.2">
      <c r="A48" s="14" t="s">
        <v>1126</v>
      </c>
      <c r="B48" s="15"/>
      <c r="C48" s="15"/>
      <c r="D48" s="15"/>
      <c r="E48" s="15"/>
      <c r="F48" s="15"/>
      <c r="G48" s="15"/>
      <c r="H48" s="15"/>
      <c r="I48" s="15"/>
      <c r="J48" s="15"/>
      <c r="K48" s="15"/>
      <c r="L48" s="15"/>
      <c r="M48" s="15"/>
      <c r="N48" s="15"/>
    </row>
    <row r="49" spans="1:14" ht="15" customHeight="1" x14ac:dyDescent="0.2">
      <c r="A49" s="4" t="s">
        <v>704</v>
      </c>
      <c r="B49" s="52">
        <f>Rev_Build!B16</f>
        <v>1635172</v>
      </c>
      <c r="C49" s="52">
        <f>Rev_Build!C16</f>
        <v>1723040</v>
      </c>
      <c r="D49" s="52">
        <f>Rev_Build!D16</f>
        <v>1799046.6390528253</v>
      </c>
      <c r="E49" s="52">
        <f>Rev_Build!E16</f>
        <v>1859961.0052646773</v>
      </c>
      <c r="F49" s="52">
        <f>Rev_Build!F16</f>
        <v>7017219.6443175022</v>
      </c>
      <c r="G49" s="52">
        <f>Rev_Build!G16</f>
        <v>1908483.1875991784</v>
      </c>
      <c r="H49" s="52">
        <f>Rev_Build!H16</f>
        <v>1936772.0692387074</v>
      </c>
      <c r="I49" s="52">
        <f>Rev_Build!I16</f>
        <v>1996258.2146415061</v>
      </c>
      <c r="J49" s="52">
        <f>Rev_Build!J16</f>
        <v>2083129.0412181083</v>
      </c>
      <c r="K49" s="52">
        <f>Rev_Build!K16</f>
        <v>7924642.5126975002</v>
      </c>
      <c r="L49" s="52">
        <f>Rev_Build!L16</f>
        <v>9155920.0355534535</v>
      </c>
      <c r="M49" s="52">
        <f>Rev_Build!M16</f>
        <v>10055800.675269026</v>
      </c>
      <c r="N49" s="52">
        <f>Rev_Build!N16</f>
        <v>10817650.269866874</v>
      </c>
    </row>
    <row r="50" spans="1:14" ht="15" customHeight="1" x14ac:dyDescent="0.2">
      <c r="A50" s="4" t="s">
        <v>705</v>
      </c>
      <c r="B50" s="48">
        <f t="shared" ref="B50:N50" si="10">B20</f>
        <v>698263</v>
      </c>
      <c r="C50" s="48">
        <f t="shared" si="10"/>
        <v>747766</v>
      </c>
      <c r="D50" s="48">
        <f t="shared" si="10"/>
        <v>793665.31946607737</v>
      </c>
      <c r="E50" s="48">
        <f t="shared" si="10"/>
        <v>838481.16034228378</v>
      </c>
      <c r="F50" s="48">
        <f t="shared" si="10"/>
        <v>3078175.4798083613</v>
      </c>
      <c r="G50" s="48">
        <f t="shared" si="10"/>
        <v>808257.65466208104</v>
      </c>
      <c r="H50" s="48">
        <f t="shared" si="10"/>
        <v>838505.98774277838</v>
      </c>
      <c r="I50" s="48">
        <f t="shared" si="10"/>
        <v>877732.85362577962</v>
      </c>
      <c r="J50" s="48">
        <f t="shared" si="10"/>
        <v>936442.01222108037</v>
      </c>
      <c r="K50" s="48">
        <f t="shared" si="10"/>
        <v>3460938.5082517196</v>
      </c>
      <c r="L50" s="48">
        <f t="shared" si="10"/>
        <v>3981795.1839243919</v>
      </c>
      <c r="M50" s="48">
        <f t="shared" si="10"/>
        <v>4346139.4204271901</v>
      </c>
      <c r="N50" s="48">
        <f t="shared" si="10"/>
        <v>4646865.8542541722</v>
      </c>
    </row>
    <row r="51" spans="1:14" ht="15" customHeight="1" x14ac:dyDescent="0.2">
      <c r="A51" s="4" t="s">
        <v>706</v>
      </c>
      <c r="B51" s="48">
        <f t="shared" ref="B51:N51" si="11">B36</f>
        <v>499511</v>
      </c>
      <c r="C51" s="48">
        <f t="shared" si="11"/>
        <v>507106</v>
      </c>
      <c r="D51" s="48">
        <f t="shared" si="11"/>
        <v>550000</v>
      </c>
      <c r="E51" s="48">
        <f t="shared" si="11"/>
        <v>560000</v>
      </c>
      <c r="F51" s="48">
        <f t="shared" si="11"/>
        <v>2116617</v>
      </c>
      <c r="G51" s="48">
        <f t="shared" si="11"/>
        <v>575000</v>
      </c>
      <c r="H51" s="48">
        <f t="shared" si="11"/>
        <v>590000</v>
      </c>
      <c r="I51" s="48">
        <f t="shared" si="11"/>
        <v>605000</v>
      </c>
      <c r="J51" s="48">
        <f t="shared" si="11"/>
        <v>620000</v>
      </c>
      <c r="K51" s="48">
        <f t="shared" si="11"/>
        <v>2390000</v>
      </c>
      <c r="L51" s="48">
        <f t="shared" si="11"/>
        <v>2650000</v>
      </c>
      <c r="M51" s="48">
        <f t="shared" si="11"/>
        <v>2870000</v>
      </c>
      <c r="N51" s="48">
        <f t="shared" si="11"/>
        <v>3040000</v>
      </c>
    </row>
    <row r="52" spans="1:14" ht="15" customHeight="1" x14ac:dyDescent="0.2">
      <c r="A52" s="4" t="s">
        <v>697</v>
      </c>
      <c r="B52" s="48">
        <f t="shared" ref="B52:N52" si="12">B31</f>
        <v>151923</v>
      </c>
      <c r="C52" s="48">
        <f t="shared" si="12"/>
        <v>153316</v>
      </c>
      <c r="D52" s="48">
        <f t="shared" si="12"/>
        <v>157000</v>
      </c>
      <c r="E52" s="48">
        <f t="shared" si="12"/>
        <v>160000</v>
      </c>
      <c r="F52" s="48">
        <f t="shared" si="12"/>
        <v>622239</v>
      </c>
      <c r="G52" s="48">
        <f t="shared" si="12"/>
        <v>163000</v>
      </c>
      <c r="H52" s="48">
        <f t="shared" si="12"/>
        <v>165000</v>
      </c>
      <c r="I52" s="48">
        <f t="shared" si="12"/>
        <v>167000</v>
      </c>
      <c r="J52" s="48">
        <f t="shared" si="12"/>
        <v>170000</v>
      </c>
      <c r="K52" s="48">
        <f t="shared" si="12"/>
        <v>665000</v>
      </c>
      <c r="L52" s="48">
        <f t="shared" si="12"/>
        <v>715000</v>
      </c>
      <c r="M52" s="48">
        <f t="shared" si="12"/>
        <v>765000</v>
      </c>
      <c r="N52" s="48">
        <f t="shared" si="12"/>
        <v>810000</v>
      </c>
    </row>
    <row r="53" spans="1:14" ht="15" customHeight="1" x14ac:dyDescent="0.2">
      <c r="A53" s="4" t="s">
        <v>707</v>
      </c>
      <c r="B53" s="48">
        <f t="shared" ref="B53:N53" si="13">B33+B34+B35</f>
        <v>18543</v>
      </c>
      <c r="C53" s="48">
        <f t="shared" si="13"/>
        <v>56595</v>
      </c>
      <c r="D53" s="48">
        <f t="shared" si="13"/>
        <v>60000</v>
      </c>
      <c r="E53" s="48">
        <f t="shared" si="13"/>
        <v>60000</v>
      </c>
      <c r="F53" s="48">
        <f t="shared" si="13"/>
        <v>195138</v>
      </c>
      <c r="G53" s="48">
        <f t="shared" si="13"/>
        <v>35000</v>
      </c>
      <c r="H53" s="48">
        <f t="shared" si="13"/>
        <v>35000</v>
      </c>
      <c r="I53" s="48">
        <f t="shared" si="13"/>
        <v>30000</v>
      </c>
      <c r="J53" s="48">
        <f t="shared" si="13"/>
        <v>30000</v>
      </c>
      <c r="K53" s="48">
        <f t="shared" si="13"/>
        <v>130000</v>
      </c>
      <c r="L53" s="48">
        <f t="shared" si="13"/>
        <v>90000</v>
      </c>
      <c r="M53" s="48">
        <f t="shared" si="13"/>
        <v>75000</v>
      </c>
      <c r="N53" s="48">
        <f t="shared" si="13"/>
        <v>70000</v>
      </c>
    </row>
    <row r="54" spans="1:14" ht="15" customHeight="1" x14ac:dyDescent="0.2">
      <c r="A54" s="3" t="s">
        <v>708</v>
      </c>
      <c r="B54" s="51">
        <f t="shared" ref="B54:N54" si="14">B49-B50-B51-B52-B53</f>
        <v>266932</v>
      </c>
      <c r="C54" s="51">
        <f t="shared" si="14"/>
        <v>258257</v>
      </c>
      <c r="D54" s="51">
        <f t="shared" si="14"/>
        <v>238381.31958674791</v>
      </c>
      <c r="E54" s="51">
        <f t="shared" si="14"/>
        <v>241479.84492239356</v>
      </c>
      <c r="F54" s="51">
        <f t="shared" si="14"/>
        <v>1005050.1645091409</v>
      </c>
      <c r="G54" s="51">
        <f t="shared" si="14"/>
        <v>327225.53293709736</v>
      </c>
      <c r="H54" s="51">
        <f t="shared" si="14"/>
        <v>308266.08149592904</v>
      </c>
      <c r="I54" s="51">
        <f t="shared" si="14"/>
        <v>316525.36101572635</v>
      </c>
      <c r="J54" s="51">
        <f t="shared" si="14"/>
        <v>326687.02899702778</v>
      </c>
      <c r="K54" s="51">
        <f t="shared" si="14"/>
        <v>1278704.0044457801</v>
      </c>
      <c r="L54" s="51">
        <f t="shared" si="14"/>
        <v>1719124.8516290616</v>
      </c>
      <c r="M54" s="51">
        <f t="shared" si="14"/>
        <v>1999661.2548418362</v>
      </c>
      <c r="N54" s="51">
        <f t="shared" si="14"/>
        <v>2250784.4156127023</v>
      </c>
    </row>
    <row r="56" spans="1:14" ht="15" customHeight="1" x14ac:dyDescent="0.2">
      <c r="A56" s="14" t="s">
        <v>1127</v>
      </c>
      <c r="B56" s="15"/>
      <c r="C56" s="15"/>
      <c r="D56" s="15"/>
      <c r="E56" s="15"/>
      <c r="F56" s="15"/>
      <c r="G56" s="15"/>
      <c r="H56" s="15"/>
      <c r="I56" s="15"/>
      <c r="J56" s="15"/>
      <c r="K56" s="15"/>
      <c r="L56" s="15"/>
      <c r="M56" s="15"/>
      <c r="N56" s="15"/>
    </row>
    <row r="57" spans="1:14" ht="15" customHeight="1" x14ac:dyDescent="0.2">
      <c r="A57" s="3" t="s">
        <v>1128</v>
      </c>
      <c r="B57" s="48">
        <f>B45</f>
        <v>920307</v>
      </c>
    </row>
    <row r="58" spans="1:14" ht="15" customHeight="1" x14ac:dyDescent="0.2">
      <c r="A58" s="4" t="s">
        <v>1129</v>
      </c>
      <c r="B58" s="48">
        <f>Historicals_Q!E106</f>
        <v>920307</v>
      </c>
    </row>
    <row r="59" spans="1:14" ht="15" customHeight="1" x14ac:dyDescent="0.2">
      <c r="A59" s="4" t="s">
        <v>361</v>
      </c>
      <c r="B59" s="63">
        <f>B57-B58</f>
        <v>0</v>
      </c>
    </row>
    <row r="60" spans="1:14" ht="15" customHeight="1" x14ac:dyDescent="0.2">
      <c r="A60" s="3" t="s">
        <v>1130</v>
      </c>
      <c r="B60" s="48">
        <f>C45</f>
        <v>977589</v>
      </c>
    </row>
    <row r="61" spans="1:14" ht="15" customHeight="1" x14ac:dyDescent="0.2">
      <c r="A61" s="4" t="s">
        <v>1131</v>
      </c>
      <c r="B61" s="48">
        <f>Historicals_Q!F106</f>
        <v>977589</v>
      </c>
    </row>
    <row r="62" spans="1:14" ht="15" customHeight="1" x14ac:dyDescent="0.2">
      <c r="A62" s="4" t="s">
        <v>361</v>
      </c>
      <c r="B62" s="63">
        <f>B60-B61</f>
        <v>0</v>
      </c>
    </row>
    <row r="64" spans="1:14" ht="15" customHeight="1" x14ac:dyDescent="0.2">
      <c r="A64" s="3" t="s">
        <v>709</v>
      </c>
      <c r="B64" s="48">
        <f>F45</f>
        <v>3864757.1645091409</v>
      </c>
    </row>
    <row r="65" spans="1:2" ht="15" customHeight="1" x14ac:dyDescent="0.2">
      <c r="A65" s="4" t="s">
        <v>663</v>
      </c>
      <c r="B65" s="48">
        <f>Source_Data!B83*1000</f>
        <v>3750000</v>
      </c>
    </row>
    <row r="66" spans="1:2" ht="15" customHeight="1" x14ac:dyDescent="0.2">
      <c r="A66" s="4" t="s">
        <v>664</v>
      </c>
      <c r="B66" s="48">
        <f>Source_Data!C83*1000</f>
        <v>3850000</v>
      </c>
    </row>
    <row r="67" spans="1:2" ht="15" customHeight="1" x14ac:dyDescent="0.2">
      <c r="A67" s="3" t="s">
        <v>710</v>
      </c>
      <c r="B67" s="59" t="str">
        <f>IF(AND(B64&gt;=B65,B64&lt;=B66),"PASS","ABOVE GUIDANCE")</f>
        <v>ABOVE GUIDANCE</v>
      </c>
    </row>
    <row r="68" spans="1:2" ht="15" customHeight="1" x14ac:dyDescent="0.2">
      <c r="A68" s="3" t="s">
        <v>711</v>
      </c>
      <c r="B68" s="48">
        <f>F31</f>
        <v>622239</v>
      </c>
    </row>
    <row r="69" spans="1:2" ht="15" customHeight="1" x14ac:dyDescent="0.2">
      <c r="A69" s="4" t="s">
        <v>712</v>
      </c>
      <c r="B69" s="48">
        <f>Source_Data!B84*1000</f>
        <v>620000</v>
      </c>
    </row>
    <row r="70" spans="1:2" ht="15" customHeight="1" x14ac:dyDescent="0.2">
      <c r="B70" s="48">
        <f>Source_Data!C84*1000</f>
        <v>630000</v>
      </c>
    </row>
    <row r="71" spans="1:2" ht="15" customHeight="1" x14ac:dyDescent="0.2">
      <c r="A71" s="3" t="s">
        <v>713</v>
      </c>
      <c r="B71" s="48">
        <f>F27</f>
        <v>144777</v>
      </c>
    </row>
    <row r="72" spans="1:2" ht="15" customHeight="1" x14ac:dyDescent="0.2">
      <c r="A72" s="49" t="s">
        <v>714</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sheetPr>
  <dimension ref="A1:P88"/>
  <sheetViews>
    <sheetView showGridLines="0" zoomScale="150" zoomScaleNormal="100" workbookViewId="0"/>
  </sheetViews>
  <sheetFormatPr baseColWidth="10" defaultColWidth="8.6640625" defaultRowHeight="15" x14ac:dyDescent="0.2"/>
  <cols>
    <col min="1" max="1" width="46" customWidth="1"/>
    <col min="2" max="14" width="12" customWidth="1"/>
    <col min="16" max="16" width="56" customWidth="1"/>
  </cols>
  <sheetData>
    <row r="1" spans="1:16" ht="15.75" customHeight="1" x14ac:dyDescent="0.2">
      <c r="A1" s="1" t="s">
        <v>1203</v>
      </c>
    </row>
    <row r="2" spans="1:16" ht="15" customHeight="1" x14ac:dyDescent="0.2">
      <c r="A2" s="2" t="s">
        <v>1132</v>
      </c>
    </row>
    <row r="5" spans="1:16" ht="15" customHeight="1" x14ac:dyDescent="0.2">
      <c r="A5" s="8" t="s">
        <v>599</v>
      </c>
      <c r="B5" s="13" t="s">
        <v>600</v>
      </c>
      <c r="C5" s="13" t="s">
        <v>601</v>
      </c>
      <c r="D5" s="13" t="s">
        <v>602</v>
      </c>
      <c r="E5" s="13" t="s">
        <v>603</v>
      </c>
      <c r="F5" s="13" t="s">
        <v>604</v>
      </c>
      <c r="G5" s="13" t="s">
        <v>605</v>
      </c>
      <c r="H5" s="13" t="s">
        <v>606</v>
      </c>
      <c r="I5" s="13" t="s">
        <v>607</v>
      </c>
      <c r="J5" s="13" t="s">
        <v>608</v>
      </c>
      <c r="K5" s="13" t="s">
        <v>609</v>
      </c>
      <c r="L5" s="13" t="s">
        <v>610</v>
      </c>
      <c r="M5" s="13" t="s">
        <v>611</v>
      </c>
      <c r="N5" s="13" t="s">
        <v>612</v>
      </c>
      <c r="P5" s="8" t="s">
        <v>613</v>
      </c>
    </row>
    <row r="7" spans="1:16" ht="15" customHeight="1" x14ac:dyDescent="0.2">
      <c r="A7" s="14" t="s">
        <v>1133</v>
      </c>
      <c r="B7" s="15"/>
      <c r="C7" s="15"/>
      <c r="D7" s="15"/>
      <c r="E7" s="15"/>
      <c r="F7" s="15"/>
      <c r="G7" s="15"/>
      <c r="H7" s="15"/>
      <c r="I7" s="15"/>
      <c r="J7" s="15"/>
      <c r="K7" s="15"/>
      <c r="L7" s="15"/>
      <c r="M7" s="15"/>
      <c r="N7" s="15"/>
    </row>
    <row r="8" spans="1:16" ht="15" customHeight="1" x14ac:dyDescent="0.2">
      <c r="A8" s="7" t="s">
        <v>715</v>
      </c>
      <c r="D8" s="64">
        <f>C10</f>
        <v>18635349</v>
      </c>
      <c r="E8" s="64">
        <f>D10</f>
        <v>19510349</v>
      </c>
      <c r="G8" s="64">
        <f>E10</f>
        <v>20385349</v>
      </c>
      <c r="H8" s="64">
        <f>G10</f>
        <v>20385349</v>
      </c>
      <c r="I8" s="64">
        <f>H10</f>
        <v>20531642.279752035</v>
      </c>
      <c r="J8" s="64">
        <f>I10</f>
        <v>20672534.494805798</v>
      </c>
      <c r="L8" s="64">
        <f>J10</f>
        <v>20884533.153775342</v>
      </c>
      <c r="M8" s="64">
        <f>L10</f>
        <v>21843615.165532906</v>
      </c>
      <c r="N8" s="64">
        <f>M10</f>
        <v>22582244.508885562</v>
      </c>
      <c r="P8" s="49" t="s">
        <v>716</v>
      </c>
    </row>
    <row r="9" spans="1:16" ht="15" customHeight="1" x14ac:dyDescent="0.2">
      <c r="A9" s="7" t="s">
        <v>717</v>
      </c>
      <c r="D9" s="50">
        <v>875000</v>
      </c>
      <c r="E9" s="50">
        <v>875000</v>
      </c>
      <c r="F9" s="64">
        <f>D9+E9</f>
        <v>1750000</v>
      </c>
      <c r="G9" s="64">
        <f>G39</f>
        <v>0</v>
      </c>
      <c r="H9" s="64">
        <f>H39</f>
        <v>146293.27975203545</v>
      </c>
      <c r="I9" s="64">
        <f>I39</f>
        <v>140892.21505376347</v>
      </c>
      <c r="J9" s="64">
        <f>J39</f>
        <v>211998.65896954568</v>
      </c>
      <c r="K9" s="64">
        <f>G9+H9+I9+J9</f>
        <v>499184.1537753446</v>
      </c>
      <c r="L9" s="64">
        <f>L39</f>
        <v>959082.0117575652</v>
      </c>
      <c r="M9" s="64">
        <f>M39</f>
        <v>738629.34335265821</v>
      </c>
      <c r="N9" s="64">
        <f>N39</f>
        <v>543162.26382626221</v>
      </c>
    </row>
    <row r="10" spans="1:16" ht="15" customHeight="1" x14ac:dyDescent="0.2">
      <c r="A10" s="3" t="s">
        <v>718</v>
      </c>
      <c r="C10" s="58">
        <v>18635349</v>
      </c>
      <c r="D10" s="51">
        <f>D8+D9</f>
        <v>19510349</v>
      </c>
      <c r="E10" s="51">
        <f>E8+E9</f>
        <v>20385349</v>
      </c>
      <c r="F10" s="51">
        <f>E10</f>
        <v>20385349</v>
      </c>
      <c r="G10" s="51">
        <f>G8+G9</f>
        <v>20385349</v>
      </c>
      <c r="H10" s="51">
        <f>H8+H9</f>
        <v>20531642.279752035</v>
      </c>
      <c r="I10" s="51">
        <f>I8+I9</f>
        <v>20672534.494805798</v>
      </c>
      <c r="J10" s="51">
        <f>J8+J9</f>
        <v>20884533.153775342</v>
      </c>
      <c r="K10" s="51">
        <f>J10</f>
        <v>20884533.153775342</v>
      </c>
      <c r="L10" s="51">
        <f>L8+L9</f>
        <v>21843615.165532906</v>
      </c>
      <c r="M10" s="51">
        <f>M8+M9</f>
        <v>22582244.508885562</v>
      </c>
      <c r="N10" s="51">
        <f>N8+N9</f>
        <v>23125406.772711825</v>
      </c>
    </row>
    <row r="12" spans="1:16" ht="15" customHeight="1" x14ac:dyDescent="0.2">
      <c r="A12" s="7" t="s">
        <v>719</v>
      </c>
      <c r="D12" s="61">
        <v>3.4000000000000002E-2</v>
      </c>
      <c r="E12" s="61">
        <v>3.4000000000000002E-2</v>
      </c>
      <c r="G12" s="61">
        <v>3.5999999999999997E-2</v>
      </c>
      <c r="H12" s="61">
        <v>3.5999999999999997E-2</v>
      </c>
      <c r="I12" s="61">
        <v>3.5999999999999997E-2</v>
      </c>
      <c r="J12" s="61">
        <v>3.5999999999999997E-2</v>
      </c>
      <c r="L12" s="61">
        <v>3.85E-2</v>
      </c>
      <c r="M12" s="61">
        <v>4.0500000000000001E-2</v>
      </c>
      <c r="N12" s="61">
        <v>4.2000000000000003E-2</v>
      </c>
      <c r="P12" s="49" t="s">
        <v>720</v>
      </c>
    </row>
    <row r="13" spans="1:16" ht="15" customHeight="1" x14ac:dyDescent="0.2">
      <c r="A13" s="7" t="s">
        <v>721</v>
      </c>
      <c r="B13" s="50">
        <v>152021</v>
      </c>
      <c r="C13" s="50">
        <v>151045</v>
      </c>
      <c r="D13" s="64">
        <f>D8*D12*0.25</f>
        <v>158400.46650000001</v>
      </c>
      <c r="E13" s="64">
        <f>E8*E12*0.25</f>
        <v>165837.96650000001</v>
      </c>
      <c r="F13" s="64">
        <f>B13+C13+D13+E13</f>
        <v>627304.43299999996</v>
      </c>
      <c r="G13" s="64">
        <f>G8*G12*0.25</f>
        <v>183468.14099999997</v>
      </c>
      <c r="H13" s="64">
        <f>H8*H12*0.25</f>
        <v>183468.14099999997</v>
      </c>
      <c r="I13" s="64">
        <f>I8*I12*0.25</f>
        <v>184784.78051776829</v>
      </c>
      <c r="J13" s="64">
        <f>J8*J12*0.25</f>
        <v>186052.81045325217</v>
      </c>
      <c r="K13" s="64">
        <f>G13+H13+I13+J13</f>
        <v>737773.87297102041</v>
      </c>
      <c r="L13" s="64">
        <f>L8*L12*1</f>
        <v>804054.52642035065</v>
      </c>
      <c r="M13" s="64">
        <f>M8*M12*1</f>
        <v>884666.41420408268</v>
      </c>
      <c r="N13" s="64">
        <f>N8*N12*1</f>
        <v>948454.26937319373</v>
      </c>
    </row>
    <row r="14" spans="1:16" ht="15" customHeight="1" x14ac:dyDescent="0.2">
      <c r="A14" s="7" t="s">
        <v>722</v>
      </c>
      <c r="B14" s="50">
        <v>35637</v>
      </c>
      <c r="C14" s="50">
        <v>37102</v>
      </c>
      <c r="D14" s="50">
        <v>42000</v>
      </c>
      <c r="E14" s="50">
        <v>46000</v>
      </c>
      <c r="F14" s="64">
        <f>B14+C14+D14+E14</f>
        <v>160739</v>
      </c>
      <c r="G14" s="50">
        <v>50000</v>
      </c>
      <c r="H14" s="50">
        <v>53000</v>
      </c>
      <c r="I14" s="50">
        <v>56000</v>
      </c>
      <c r="J14" s="50">
        <v>59000</v>
      </c>
      <c r="K14" s="64">
        <f>G14+H14+I14+J14</f>
        <v>218000</v>
      </c>
      <c r="L14" s="50">
        <v>260000</v>
      </c>
      <c r="M14" s="50">
        <v>285000</v>
      </c>
      <c r="N14" s="50">
        <v>300000</v>
      </c>
      <c r="P14" s="49" t="s">
        <v>723</v>
      </c>
    </row>
    <row r="15" spans="1:16" ht="15" customHeight="1" x14ac:dyDescent="0.2">
      <c r="A15" s="3" t="s">
        <v>724</v>
      </c>
      <c r="B15" s="52">
        <f>Historicals_Q!E35*-1</f>
        <v>116384</v>
      </c>
      <c r="C15" s="52">
        <f>Historicals_Q!F35*-1</f>
        <v>113943</v>
      </c>
      <c r="D15" s="51">
        <f>D13-D14</f>
        <v>116400.46650000001</v>
      </c>
      <c r="E15" s="51">
        <f>E13-E14</f>
        <v>119837.96650000001</v>
      </c>
      <c r="F15" s="51">
        <f>B15+C15+D15+E15</f>
        <v>466565.43299999996</v>
      </c>
      <c r="G15" s="51">
        <f>G13-G14</f>
        <v>133468.14099999997</v>
      </c>
      <c r="H15" s="51">
        <f>H13-H14</f>
        <v>130468.14099999997</v>
      </c>
      <c r="I15" s="51">
        <f>I13-I14</f>
        <v>128784.78051776829</v>
      </c>
      <c r="J15" s="51">
        <f>J13-J14</f>
        <v>127052.81045325217</v>
      </c>
      <c r="K15" s="51">
        <f>G15+H15+I15+J15</f>
        <v>519773.87297102041</v>
      </c>
      <c r="L15" s="51">
        <f>L13-L14</f>
        <v>544054.52642035065</v>
      </c>
      <c r="M15" s="51">
        <f>M13-M14</f>
        <v>599666.41420408268</v>
      </c>
      <c r="N15" s="51">
        <f>N13-N14</f>
        <v>648454.26937319373</v>
      </c>
      <c r="P15" s="49" t="s">
        <v>725</v>
      </c>
    </row>
    <row r="17" spans="1:16" ht="15" customHeight="1" x14ac:dyDescent="0.2">
      <c r="A17" s="14" t="s">
        <v>1134</v>
      </c>
      <c r="B17" s="15"/>
      <c r="C17" s="15"/>
      <c r="D17" s="15"/>
      <c r="E17" s="15"/>
      <c r="F17" s="15"/>
      <c r="G17" s="15"/>
      <c r="H17" s="15"/>
      <c r="I17" s="15"/>
      <c r="J17" s="15"/>
      <c r="K17" s="15"/>
      <c r="L17" s="15"/>
      <c r="M17" s="15"/>
      <c r="N17" s="15"/>
    </row>
    <row r="18" spans="1:16" ht="15" customHeight="1" x14ac:dyDescent="0.2">
      <c r="A18" s="7" t="s">
        <v>398</v>
      </c>
      <c r="B18" s="52">
        <f>Opex_NOI!B45</f>
        <v>920307</v>
      </c>
      <c r="C18" s="52">
        <f>Opex_NOI!C45</f>
        <v>977589</v>
      </c>
      <c r="D18" s="52">
        <f>Opex_NOI!D45</f>
        <v>976381.31958674791</v>
      </c>
      <c r="E18" s="52">
        <f>Opex_NOI!E45</f>
        <v>990479.84492239356</v>
      </c>
      <c r="F18" s="52">
        <f>Opex_NOI!F45</f>
        <v>3864757.1645091409</v>
      </c>
      <c r="G18" s="52">
        <f>Opex_NOI!G45</f>
        <v>1067225.5329370974</v>
      </c>
      <c r="H18" s="52">
        <f>Opex_NOI!H45</f>
        <v>1064266.081495929</v>
      </c>
      <c r="I18" s="52">
        <f>Opex_NOI!I45</f>
        <v>1083525.3610157263</v>
      </c>
      <c r="J18" s="52">
        <f>Opex_NOI!J45</f>
        <v>1109687.0289970278</v>
      </c>
      <c r="K18" s="52">
        <f>Opex_NOI!K45</f>
        <v>4324704.0044457801</v>
      </c>
      <c r="L18" s="52">
        <f>Opex_NOI!L45</f>
        <v>5004124.8516290616</v>
      </c>
      <c r="M18" s="52">
        <f>Opex_NOI!M45</f>
        <v>5504661.2548418362</v>
      </c>
      <c r="N18" s="52">
        <f>Opex_NOI!N45</f>
        <v>5935784.4156127023</v>
      </c>
    </row>
    <row r="19" spans="1:16" ht="15" customHeight="1" x14ac:dyDescent="0.2">
      <c r="A19" s="7" t="s">
        <v>726</v>
      </c>
      <c r="D19" s="64">
        <f>D13</f>
        <v>158400.46650000001</v>
      </c>
      <c r="E19" s="64">
        <f>E13</f>
        <v>165837.96650000001</v>
      </c>
      <c r="F19" s="64">
        <f>D19+E19</f>
        <v>324238.43300000002</v>
      </c>
      <c r="G19" s="64">
        <f>G13</f>
        <v>183468.14099999997</v>
      </c>
      <c r="H19" s="64">
        <f>H13</f>
        <v>183468.14099999997</v>
      </c>
      <c r="I19" s="64">
        <f>I13</f>
        <v>184784.78051776829</v>
      </c>
      <c r="J19" s="64">
        <f>J13</f>
        <v>186052.81045325217</v>
      </c>
      <c r="K19" s="64">
        <f>G19+H19+I19+J19</f>
        <v>737773.87297102041</v>
      </c>
      <c r="L19" s="64">
        <f>L13</f>
        <v>804054.52642035065</v>
      </c>
      <c r="M19" s="64">
        <f>M13</f>
        <v>884666.41420408268</v>
      </c>
      <c r="N19" s="64">
        <f>N13</f>
        <v>948454.26937319373</v>
      </c>
    </row>
    <row r="20" spans="1:16" ht="15" customHeight="1" x14ac:dyDescent="0.2">
      <c r="A20" s="7" t="s">
        <v>727</v>
      </c>
      <c r="B20" s="50">
        <v>26927</v>
      </c>
      <c r="C20" s="50">
        <v>46356</v>
      </c>
      <c r="D20" s="50">
        <v>46000</v>
      </c>
      <c r="E20" s="50">
        <v>46000</v>
      </c>
      <c r="F20" s="64">
        <f>B20+C20+D20+E20</f>
        <v>165283</v>
      </c>
      <c r="G20" s="50">
        <v>47000</v>
      </c>
      <c r="H20" s="50">
        <v>47000</v>
      </c>
      <c r="I20" s="50">
        <v>47000</v>
      </c>
      <c r="J20" s="50">
        <v>47000</v>
      </c>
      <c r="K20" s="64">
        <f>G20+H20+I20+J20</f>
        <v>188000</v>
      </c>
      <c r="L20" s="50">
        <v>200000</v>
      </c>
      <c r="M20" s="50">
        <v>215000</v>
      </c>
      <c r="N20" s="50">
        <v>230000</v>
      </c>
      <c r="P20" s="49" t="s">
        <v>728</v>
      </c>
    </row>
    <row r="21" spans="1:16" ht="15" customHeight="1" x14ac:dyDescent="0.2">
      <c r="A21" s="7" t="s">
        <v>729</v>
      </c>
      <c r="B21" s="50">
        <v>10181</v>
      </c>
      <c r="C21" s="50">
        <v>10181</v>
      </c>
      <c r="D21" s="50">
        <v>10181</v>
      </c>
      <c r="E21" s="50">
        <v>10181</v>
      </c>
      <c r="F21" s="64">
        <f>B21+C21+D21+E21</f>
        <v>40724</v>
      </c>
      <c r="G21" s="50">
        <v>10181</v>
      </c>
      <c r="H21" s="50">
        <v>10181</v>
      </c>
      <c r="I21" s="50">
        <v>10181</v>
      </c>
      <c r="J21" s="50">
        <v>10181</v>
      </c>
      <c r="K21" s="64">
        <f>G21+H21+I21+J21</f>
        <v>40724</v>
      </c>
      <c r="L21" s="50">
        <v>40724</v>
      </c>
      <c r="M21" s="50">
        <v>40724</v>
      </c>
      <c r="N21" s="50">
        <v>40724</v>
      </c>
    </row>
    <row r="22" spans="1:16" ht="15" customHeight="1" x14ac:dyDescent="0.2">
      <c r="A22" s="3" t="s">
        <v>730</v>
      </c>
      <c r="D22" s="51">
        <f>D18-D19-D20-D21</f>
        <v>761799.85308674793</v>
      </c>
      <c r="E22" s="51">
        <f>E18-E19-E20-E21</f>
        <v>768460.87842239358</v>
      </c>
      <c r="F22" s="51">
        <f>D22+E22</f>
        <v>1530260.7315091416</v>
      </c>
      <c r="G22" s="51">
        <f>G18-G19-G20-G21</f>
        <v>826576.39193709742</v>
      </c>
      <c r="H22" s="51">
        <f>H18-H19-H20-H21</f>
        <v>823616.9404959291</v>
      </c>
      <c r="I22" s="51">
        <f>I18-I19-I20-I21</f>
        <v>841559.580497958</v>
      </c>
      <c r="J22" s="51">
        <f>J18-J19-J20-J21</f>
        <v>866453.21854377561</v>
      </c>
      <c r="K22" s="51">
        <f>G22+H22+I22+J22</f>
        <v>3358206.1314747604</v>
      </c>
      <c r="L22" s="51">
        <f>L18-L19-L20-L21</f>
        <v>3959346.3252087105</v>
      </c>
      <c r="M22" s="51">
        <f>M18-M19-M20-M21</f>
        <v>4364270.8406377537</v>
      </c>
      <c r="N22" s="51">
        <f>N18-N19-N20-N21</f>
        <v>4716606.1462395089</v>
      </c>
    </row>
    <row r="23" spans="1:16" ht="15" customHeight="1" x14ac:dyDescent="0.2">
      <c r="A23" s="7" t="s">
        <v>731</v>
      </c>
      <c r="B23" s="65">
        <v>1.22</v>
      </c>
      <c r="C23" s="65">
        <v>1.22</v>
      </c>
      <c r="D23" s="65">
        <v>1.22</v>
      </c>
      <c r="E23" s="65">
        <v>1.22</v>
      </c>
      <c r="F23" s="66">
        <f>B23+C23+D23+E23</f>
        <v>4.88</v>
      </c>
      <c r="G23" s="65">
        <v>1.22</v>
      </c>
      <c r="H23" s="65">
        <v>1.22</v>
      </c>
      <c r="I23" s="65">
        <v>1.22</v>
      </c>
      <c r="J23" s="65">
        <v>1.22</v>
      </c>
      <c r="L23" s="65">
        <v>5.05</v>
      </c>
      <c r="M23" s="65">
        <v>5.25</v>
      </c>
      <c r="N23" s="65">
        <v>5.45</v>
      </c>
    </row>
    <row r="24" spans="1:16" ht="15" customHeight="1" x14ac:dyDescent="0.2">
      <c r="A24" s="7" t="s">
        <v>732</v>
      </c>
      <c r="B24" s="50">
        <v>428292</v>
      </c>
      <c r="C24" s="50">
        <v>439421</v>
      </c>
      <c r="D24" s="64">
        <f>D52*D23</f>
        <v>459543.5</v>
      </c>
      <c r="E24" s="64">
        <f>E52*E23</f>
        <v>460763.5</v>
      </c>
      <c r="F24" s="64">
        <f>B24+C24+D24+E24</f>
        <v>1788020</v>
      </c>
      <c r="G24" s="64">
        <f>G52*G23</f>
        <v>461983.5</v>
      </c>
      <c r="H24" s="64">
        <f>H52*H23</f>
        <v>463203.5</v>
      </c>
      <c r="I24" s="64">
        <f>I52*I23</f>
        <v>465344.01060548495</v>
      </c>
      <c r="J24" s="64">
        <f>J52*J23</f>
        <v>467450.53648286697</v>
      </c>
      <c r="K24" s="64">
        <f>G24+H24+I24+J24</f>
        <v>1857981.547088352</v>
      </c>
      <c r="L24" s="64">
        <f>L52*L23</f>
        <v>1945510.3487238407</v>
      </c>
      <c r="M24" s="64">
        <f>M52*M23</f>
        <v>2069529.5273430699</v>
      </c>
      <c r="N24" s="64">
        <f>N52*N23</f>
        <v>2190930.6738920333</v>
      </c>
      <c r="P24" s="49" t="s">
        <v>1135</v>
      </c>
    </row>
    <row r="25" spans="1:16" ht="15" customHeight="1" x14ac:dyDescent="0.2">
      <c r="A25" s="3" t="s">
        <v>733</v>
      </c>
      <c r="D25" s="53">
        <f>D22-D24</f>
        <v>302256.35308674793</v>
      </c>
      <c r="E25" s="53">
        <f>E22-E24</f>
        <v>307697.37842239358</v>
      </c>
      <c r="F25" s="51">
        <f>D25+E25</f>
        <v>609953.73150914151</v>
      </c>
      <c r="G25" s="53">
        <f>G22-G24</f>
        <v>364592.89193709742</v>
      </c>
      <c r="H25" s="53">
        <f>H22-H24</f>
        <v>360413.4404959291</v>
      </c>
      <c r="I25" s="53">
        <f>I22-I24</f>
        <v>376215.56989247305</v>
      </c>
      <c r="J25" s="53">
        <f>J22-J24</f>
        <v>399002.68206090864</v>
      </c>
      <c r="K25" s="51">
        <f>G25+H25+I25+J25</f>
        <v>1500224.5843864083</v>
      </c>
      <c r="L25" s="53">
        <f>L22-L24</f>
        <v>2013835.9764848698</v>
      </c>
      <c r="M25" s="53">
        <f>M22-M24</f>
        <v>2294741.3132946836</v>
      </c>
      <c r="N25" s="53">
        <f>N22-N24</f>
        <v>2525675.4723474756</v>
      </c>
    </row>
    <row r="27" spans="1:16" ht="15" customHeight="1" x14ac:dyDescent="0.2">
      <c r="A27" s="14" t="s">
        <v>1136</v>
      </c>
      <c r="B27" s="15"/>
      <c r="C27" s="15"/>
      <c r="D27" s="15"/>
      <c r="E27" s="15"/>
      <c r="F27" s="15"/>
      <c r="G27" s="15"/>
      <c r="H27" s="15"/>
      <c r="I27" s="15"/>
      <c r="J27" s="15"/>
      <c r="K27" s="15"/>
      <c r="L27" s="15"/>
      <c r="M27" s="15"/>
      <c r="N27" s="15"/>
    </row>
    <row r="28" spans="1:16" ht="15" customHeight="1" x14ac:dyDescent="0.2">
      <c r="A28" s="7" t="s">
        <v>734</v>
      </c>
      <c r="B28" s="50">
        <v>950000</v>
      </c>
      <c r="C28" s="50">
        <v>1050000</v>
      </c>
      <c r="D28" s="50">
        <v>1250000</v>
      </c>
      <c r="E28" s="50">
        <v>1250000</v>
      </c>
      <c r="F28" s="64">
        <f>B28+C28+D28+E28</f>
        <v>4500000</v>
      </c>
      <c r="G28" s="50">
        <v>1200000</v>
      </c>
      <c r="H28" s="50">
        <v>1200000</v>
      </c>
      <c r="I28" s="50">
        <v>1200000</v>
      </c>
      <c r="J28" s="50">
        <v>1200000</v>
      </c>
      <c r="K28" s="64">
        <f>G28+H28+I28+J28</f>
        <v>4800000</v>
      </c>
      <c r="L28" s="50">
        <v>4500000</v>
      </c>
      <c r="M28" s="50">
        <v>4200000</v>
      </c>
      <c r="N28" s="50">
        <v>4000000</v>
      </c>
      <c r="P28" s="49" t="s">
        <v>1137</v>
      </c>
    </row>
    <row r="29" spans="1:16" ht="15" customHeight="1" x14ac:dyDescent="0.2">
      <c r="A29" s="7" t="s">
        <v>735</v>
      </c>
      <c r="B29" s="50">
        <v>59665</v>
      </c>
      <c r="C29" s="50">
        <v>76674</v>
      </c>
      <c r="D29" s="50">
        <v>110000</v>
      </c>
      <c r="E29" s="50">
        <v>165000</v>
      </c>
      <c r="F29" s="64">
        <f>B29+C29+D29+E29</f>
        <v>411339</v>
      </c>
      <c r="G29" s="50">
        <v>90000</v>
      </c>
      <c r="H29" s="50">
        <v>95000</v>
      </c>
      <c r="I29" s="50">
        <v>100000</v>
      </c>
      <c r="J29" s="50">
        <v>165000</v>
      </c>
      <c r="K29" s="64">
        <f>G29+H29+I29+J29</f>
        <v>450000</v>
      </c>
      <c r="L29" s="50">
        <v>500000</v>
      </c>
      <c r="M29" s="50">
        <v>540000</v>
      </c>
      <c r="N29" s="50">
        <v>580000</v>
      </c>
      <c r="P29" s="49" t="s">
        <v>736</v>
      </c>
    </row>
    <row r="30" spans="1:16" ht="15" customHeight="1" x14ac:dyDescent="0.2">
      <c r="A30" s="7" t="s">
        <v>737</v>
      </c>
      <c r="B30" s="50">
        <v>8000</v>
      </c>
      <c r="C30" s="50">
        <v>8000</v>
      </c>
      <c r="D30" s="50">
        <v>8000</v>
      </c>
      <c r="E30" s="50">
        <v>8000</v>
      </c>
      <c r="F30" s="64">
        <f>B30+C30+D30+E30</f>
        <v>32000</v>
      </c>
      <c r="G30" s="50">
        <v>8000</v>
      </c>
      <c r="H30" s="50">
        <v>8000</v>
      </c>
      <c r="I30" s="50">
        <v>8000</v>
      </c>
      <c r="J30" s="50">
        <v>8000</v>
      </c>
      <c r="K30" s="64">
        <f>G30+H30+I30+J30</f>
        <v>32000</v>
      </c>
      <c r="L30" s="50">
        <v>32000</v>
      </c>
      <c r="M30" s="50">
        <v>32000</v>
      </c>
      <c r="N30" s="50">
        <v>32000</v>
      </c>
    </row>
    <row r="31" spans="1:16" ht="15" customHeight="1" x14ac:dyDescent="0.2">
      <c r="A31" s="3" t="s">
        <v>738</v>
      </c>
      <c r="B31" s="51">
        <f>B28+B29+B30</f>
        <v>1017665</v>
      </c>
      <c r="C31" s="51">
        <f>C28+C29+C30</f>
        <v>1134674</v>
      </c>
      <c r="D31" s="51">
        <f>D28+D29+D30</f>
        <v>1368000</v>
      </c>
      <c r="E31" s="51">
        <f>E28+E29+E30</f>
        <v>1423000</v>
      </c>
      <c r="F31" s="51">
        <f>B31+C31+D31+E31</f>
        <v>4943339</v>
      </c>
      <c r="G31" s="51">
        <f>G28+G29+G30</f>
        <v>1298000</v>
      </c>
      <c r="H31" s="51">
        <f>H28+H29+H30</f>
        <v>1303000</v>
      </c>
      <c r="I31" s="51">
        <f>I28+I29+I30</f>
        <v>1308000</v>
      </c>
      <c r="J31" s="51">
        <f>J28+J29+J30</f>
        <v>1373000</v>
      </c>
      <c r="K31" s="51">
        <f>G31+H31+I31+J31</f>
        <v>5282000</v>
      </c>
      <c r="L31" s="51">
        <f>L28+L29+L30</f>
        <v>5032000</v>
      </c>
      <c r="M31" s="51">
        <f>M28+M29+M30</f>
        <v>4772000</v>
      </c>
      <c r="N31" s="51">
        <f>N28+N29+N30</f>
        <v>4612000</v>
      </c>
    </row>
    <row r="33" spans="1:16" ht="15" customHeight="1" x14ac:dyDescent="0.2">
      <c r="A33" s="7" t="s">
        <v>739</v>
      </c>
      <c r="D33" s="64">
        <f>D25</f>
        <v>302256.35308674793</v>
      </c>
      <c r="E33" s="64">
        <f>E25</f>
        <v>307697.37842239358</v>
      </c>
      <c r="F33" s="64">
        <f>D33+E33</f>
        <v>609953.73150914151</v>
      </c>
      <c r="G33" s="64">
        <f>G25</f>
        <v>364592.89193709742</v>
      </c>
      <c r="H33" s="64">
        <f>H25</f>
        <v>360413.4404959291</v>
      </c>
      <c r="I33" s="64">
        <f>I25</f>
        <v>376215.56989247305</v>
      </c>
      <c r="J33" s="64">
        <f>J25</f>
        <v>399002.68206090864</v>
      </c>
      <c r="K33" s="64">
        <f>G33+H33+I33+J33</f>
        <v>1500224.5843864083</v>
      </c>
      <c r="L33" s="64">
        <f>L25</f>
        <v>2013835.9764848698</v>
      </c>
      <c r="M33" s="64">
        <f>M25</f>
        <v>2294741.3132946836</v>
      </c>
      <c r="N33" s="64">
        <f>N25</f>
        <v>2525675.4723474756</v>
      </c>
    </row>
    <row r="34" spans="1:16" ht="15" customHeight="1" x14ac:dyDescent="0.2">
      <c r="A34" s="7" t="s">
        <v>740</v>
      </c>
      <c r="B34" s="50">
        <v>0</v>
      </c>
      <c r="C34" s="50">
        <v>24000</v>
      </c>
      <c r="D34" s="50">
        <v>625000</v>
      </c>
      <c r="E34" s="50">
        <v>625000</v>
      </c>
      <c r="F34" s="64">
        <f>B34+C34+D34+E34</f>
        <v>1274000</v>
      </c>
      <c r="G34" s="50">
        <v>250000</v>
      </c>
      <c r="H34" s="50">
        <v>250000</v>
      </c>
      <c r="I34" s="50">
        <v>250000</v>
      </c>
      <c r="J34" s="50">
        <v>250000</v>
      </c>
      <c r="K34" s="64">
        <f>G34+H34+I34+J34</f>
        <v>1000000</v>
      </c>
      <c r="L34" s="50">
        <v>1000000</v>
      </c>
      <c r="M34" s="50">
        <v>1000000</v>
      </c>
      <c r="N34" s="50">
        <v>1000000</v>
      </c>
      <c r="P34" s="49" t="s">
        <v>741</v>
      </c>
    </row>
    <row r="35" spans="1:16" ht="15" customHeight="1" x14ac:dyDescent="0.2">
      <c r="A35" s="7" t="s">
        <v>742</v>
      </c>
      <c r="D35" s="50">
        <v>0</v>
      </c>
      <c r="E35" s="50">
        <v>0</v>
      </c>
      <c r="F35" s="64">
        <f>D35+E35</f>
        <v>0</v>
      </c>
      <c r="G35" s="50">
        <v>952750</v>
      </c>
      <c r="H35" s="50">
        <v>400000</v>
      </c>
      <c r="I35" s="50">
        <v>400000</v>
      </c>
      <c r="J35" s="50">
        <v>300000</v>
      </c>
      <c r="K35" s="64">
        <f>G35+H35+I35+J35</f>
        <v>2052750</v>
      </c>
      <c r="L35" s="50">
        <v>100000</v>
      </c>
      <c r="M35" s="50">
        <v>0</v>
      </c>
      <c r="N35" s="50">
        <v>0</v>
      </c>
      <c r="P35" s="49" t="s">
        <v>743</v>
      </c>
    </row>
    <row r="36" spans="1:16" ht="15" customHeight="1" x14ac:dyDescent="0.2">
      <c r="A36" s="3" t="s">
        <v>744</v>
      </c>
      <c r="D36" s="53">
        <f>D31-D33-D34-D35</f>
        <v>440743.64691325207</v>
      </c>
      <c r="E36" s="53">
        <f>E31-E33-E34-E35</f>
        <v>490302.62157760654</v>
      </c>
      <c r="F36" s="51">
        <f>D36+E36</f>
        <v>931046.26849085861</v>
      </c>
      <c r="G36" s="53">
        <f>G31-G33-G34-G35</f>
        <v>-269342.89193709742</v>
      </c>
      <c r="H36" s="53">
        <f>H31-H33-H34-H35</f>
        <v>292586.5595040709</v>
      </c>
      <c r="I36" s="53">
        <f>I31-I33-I34-I35</f>
        <v>281784.43010752695</v>
      </c>
      <c r="J36" s="53">
        <f>J31-J33-J34-J35</f>
        <v>423997.31793909136</v>
      </c>
      <c r="K36" s="51">
        <f>G36+H36+I36+J36</f>
        <v>729025.41561359179</v>
      </c>
      <c r="L36" s="53">
        <f>L31-L33-L34-L35</f>
        <v>1918164.0235151304</v>
      </c>
      <c r="M36" s="53">
        <f>M31-M33-M34-M35</f>
        <v>1477258.6867053164</v>
      </c>
      <c r="N36" s="53">
        <f>N31-N33-N34-N35</f>
        <v>1086324.5276525244</v>
      </c>
    </row>
    <row r="38" spans="1:16" ht="15" customHeight="1" x14ac:dyDescent="0.2">
      <c r="A38" s="7" t="s">
        <v>745</v>
      </c>
    </row>
    <row r="39" spans="1:16" ht="15" customHeight="1" x14ac:dyDescent="0.2">
      <c r="A39" s="7" t="s">
        <v>746</v>
      </c>
      <c r="D39" s="50">
        <v>875000</v>
      </c>
      <c r="E39" s="50">
        <v>875000</v>
      </c>
      <c r="F39" s="64">
        <f>D39+E39</f>
        <v>1750000</v>
      </c>
      <c r="G39" s="64">
        <f>MAX(0,G36*0.5)</f>
        <v>0</v>
      </c>
      <c r="H39" s="64">
        <f>MAX(0,H36*0.5)</f>
        <v>146293.27975203545</v>
      </c>
      <c r="I39" s="64">
        <f>MAX(0,I36*0.5)</f>
        <v>140892.21505376347</v>
      </c>
      <c r="J39" s="64">
        <f>MAX(0,J36*0.5)</f>
        <v>211998.65896954568</v>
      </c>
      <c r="K39" s="64">
        <f>G39+H39+I39+J39</f>
        <v>499184.1537753446</v>
      </c>
      <c r="L39" s="64">
        <f>MAX(0,L36*0.5)</f>
        <v>959082.0117575652</v>
      </c>
      <c r="M39" s="64">
        <f>MAX(0,M36*0.5)</f>
        <v>738629.34335265821</v>
      </c>
      <c r="N39" s="64">
        <f>MAX(0,N36*0.5)</f>
        <v>543162.26382626221</v>
      </c>
      <c r="P39" s="49" t="s">
        <v>747</v>
      </c>
    </row>
    <row r="40" spans="1:16" ht="15" customHeight="1" x14ac:dyDescent="0.2">
      <c r="A40" s="7" t="s">
        <v>748</v>
      </c>
      <c r="D40" s="64">
        <f>MAX(0,D36-D39)</f>
        <v>0</v>
      </c>
      <c r="E40" s="64">
        <f>MAX(0,E36-E39)</f>
        <v>0</v>
      </c>
      <c r="F40" s="64">
        <f>D40+E40</f>
        <v>0</v>
      </c>
      <c r="G40" s="64">
        <f>MAX(0,G36-G39)</f>
        <v>0</v>
      </c>
      <c r="H40" s="64">
        <f>MAX(0,H36-H39)</f>
        <v>146293.27975203545</v>
      </c>
      <c r="I40" s="64">
        <f>MAX(0,I36-I39)</f>
        <v>140892.21505376347</v>
      </c>
      <c r="J40" s="64">
        <f>MAX(0,J36-J39)</f>
        <v>211998.65896954568</v>
      </c>
      <c r="K40" s="64">
        <f>G40+H40+I40+J40</f>
        <v>499184.1537753446</v>
      </c>
      <c r="L40" s="64">
        <f>MAX(0,L36-L39)</f>
        <v>959082.0117575652</v>
      </c>
      <c r="M40" s="64">
        <f>MAX(0,M36-M39)</f>
        <v>738629.34335265821</v>
      </c>
      <c r="N40" s="64">
        <f>MAX(0,N36-N39)</f>
        <v>543162.26382626221</v>
      </c>
    </row>
    <row r="41" spans="1:16" ht="15" customHeight="1" x14ac:dyDescent="0.2">
      <c r="A41" s="3" t="s">
        <v>749</v>
      </c>
      <c r="D41" s="64">
        <f>D39+D40-D36</f>
        <v>434256.35308674793</v>
      </c>
      <c r="E41" s="64">
        <f>E39+E40-E36</f>
        <v>384697.37842239346</v>
      </c>
      <c r="G41" s="64">
        <f>G39+G40-G36</f>
        <v>269342.89193709742</v>
      </c>
      <c r="H41" s="64">
        <f>H39+H40-H36</f>
        <v>0</v>
      </c>
      <c r="I41" s="64">
        <f>I39+I40-I36</f>
        <v>0</v>
      </c>
      <c r="J41" s="64">
        <f>J39+J40-J36</f>
        <v>0</v>
      </c>
      <c r="L41" s="64">
        <f>L39+L40-L36</f>
        <v>0</v>
      </c>
      <c r="M41" s="64">
        <f>M39+M40-M36</f>
        <v>0</v>
      </c>
      <c r="N41" s="64">
        <f>N39+N40-N36</f>
        <v>0</v>
      </c>
      <c r="P41" s="49" t="s">
        <v>750</v>
      </c>
    </row>
    <row r="43" spans="1:16" ht="15" customHeight="1" x14ac:dyDescent="0.2">
      <c r="A43" s="14" t="s">
        <v>1138</v>
      </c>
      <c r="B43" s="15"/>
      <c r="C43" s="15"/>
      <c r="D43" s="15"/>
      <c r="E43" s="15"/>
      <c r="F43" s="15"/>
      <c r="G43" s="15"/>
      <c r="H43" s="15"/>
      <c r="I43" s="15"/>
      <c r="J43" s="15"/>
      <c r="K43" s="15"/>
      <c r="L43" s="15"/>
      <c r="M43" s="15"/>
      <c r="N43" s="15"/>
    </row>
    <row r="44" spans="1:16" ht="15" customHeight="1" x14ac:dyDescent="0.2">
      <c r="A44" s="7" t="s">
        <v>751</v>
      </c>
      <c r="D44" s="64">
        <f>C45</f>
        <v>1864796</v>
      </c>
      <c r="E44" s="64">
        <f>D45</f>
        <v>2299052.3530867482</v>
      </c>
      <c r="G44" s="64">
        <f>E45</f>
        <v>2683749.7315091416</v>
      </c>
      <c r="H44" s="64">
        <f>G45</f>
        <v>2000342.6234462392</v>
      </c>
      <c r="I44" s="64">
        <f>H45</f>
        <v>1600342.6234462396</v>
      </c>
      <c r="J44" s="64">
        <f>I45</f>
        <v>1200342.6234462392</v>
      </c>
      <c r="L44" s="64">
        <f>J45</f>
        <v>900342.62344623916</v>
      </c>
      <c r="M44" s="64">
        <f>L45</f>
        <v>800342.62344623916</v>
      </c>
      <c r="N44" s="64">
        <f>M45</f>
        <v>800342.62344623916</v>
      </c>
    </row>
    <row r="45" spans="1:16" ht="15" customHeight="1" x14ac:dyDescent="0.2">
      <c r="A45" s="7" t="s">
        <v>752</v>
      </c>
      <c r="C45" s="50">
        <v>1864796</v>
      </c>
      <c r="D45" s="64">
        <f>D44+D25+D34+D39+D40-D31</f>
        <v>2299052.3530867482</v>
      </c>
      <c r="E45" s="64">
        <f>E44+E25+E34+E39+E40-E31</f>
        <v>2683749.7315091416</v>
      </c>
      <c r="F45" s="64">
        <f>E45</f>
        <v>2683749.7315091416</v>
      </c>
      <c r="G45" s="64">
        <f>G44+G25+G34+G39+G40-G31</f>
        <v>2000342.6234462392</v>
      </c>
      <c r="H45" s="64">
        <f>H44+H25+H34+H39+H40-H31</f>
        <v>1600342.6234462396</v>
      </c>
      <c r="I45" s="64">
        <f>I44+I25+I34+I39+I40-I31</f>
        <v>1200342.6234462392</v>
      </c>
      <c r="J45" s="64">
        <f>J44+J25+J34+J39+J40-J31</f>
        <v>900342.62344623916</v>
      </c>
      <c r="K45" s="64">
        <f>J45</f>
        <v>900342.62344623916</v>
      </c>
      <c r="L45" s="64">
        <f>L44+L25+L34+L39+L40-L31</f>
        <v>800342.62344623916</v>
      </c>
      <c r="M45" s="64">
        <f>M44+M25+M34+M39+M40-M31</f>
        <v>800342.62344623916</v>
      </c>
      <c r="N45" s="64">
        <f>N44+N25+N34+N39+N40-N31</f>
        <v>800342.62344623916</v>
      </c>
    </row>
    <row r="46" spans="1:16" ht="15" customHeight="1" x14ac:dyDescent="0.2">
      <c r="A46" s="7" t="s">
        <v>753</v>
      </c>
      <c r="D46" s="50">
        <v>1985418</v>
      </c>
      <c r="E46" s="50">
        <v>1985418</v>
      </c>
      <c r="F46" s="64">
        <f>E46</f>
        <v>1985418</v>
      </c>
      <c r="G46" s="50">
        <v>1985418</v>
      </c>
      <c r="H46" s="50">
        <v>1985418</v>
      </c>
      <c r="I46" s="50">
        <v>1985418</v>
      </c>
      <c r="J46" s="50">
        <v>1985418</v>
      </c>
      <c r="K46" s="64">
        <f>J46</f>
        <v>1985418</v>
      </c>
      <c r="L46" s="50">
        <v>1985418</v>
      </c>
      <c r="M46" s="50">
        <v>1985418</v>
      </c>
      <c r="N46" s="50">
        <v>1985418</v>
      </c>
      <c r="P46" s="49" t="s">
        <v>754</v>
      </c>
    </row>
    <row r="47" spans="1:16" ht="15" customHeight="1" x14ac:dyDescent="0.2">
      <c r="A47" s="7" t="s">
        <v>755</v>
      </c>
      <c r="D47" s="50">
        <v>377298</v>
      </c>
      <c r="E47" s="50">
        <v>377298</v>
      </c>
      <c r="F47" s="64">
        <f>E47</f>
        <v>377298</v>
      </c>
      <c r="G47" s="50">
        <v>377298</v>
      </c>
      <c r="H47" s="50">
        <v>377298</v>
      </c>
      <c r="I47" s="50">
        <v>377298</v>
      </c>
      <c r="J47" s="50">
        <v>377298</v>
      </c>
      <c r="K47" s="64">
        <f>J47</f>
        <v>377298</v>
      </c>
      <c r="L47" s="50">
        <v>377298</v>
      </c>
      <c r="M47" s="50">
        <v>377298</v>
      </c>
      <c r="N47" s="50">
        <v>377298</v>
      </c>
    </row>
    <row r="48" spans="1:16" ht="15" customHeight="1" x14ac:dyDescent="0.2">
      <c r="A48" s="3" t="s">
        <v>756</v>
      </c>
      <c r="D48" s="51">
        <f>D10+D46-D45-D47</f>
        <v>18819416.646913253</v>
      </c>
      <c r="E48" s="51">
        <f>E10+E46-E45-E47</f>
        <v>19309719.268490858</v>
      </c>
      <c r="F48" s="51">
        <f>E48</f>
        <v>19309719.268490858</v>
      </c>
      <c r="G48" s="51">
        <f>G10+G46-G45-G47</f>
        <v>19993126.376553759</v>
      </c>
      <c r="H48" s="51">
        <f>H10+H46-H45-H47</f>
        <v>20539419.656305794</v>
      </c>
      <c r="I48" s="51">
        <f>I10+I46-I45-I47</f>
        <v>21080311.871359557</v>
      </c>
      <c r="J48" s="51">
        <f>J10+J46-J45-J47</f>
        <v>21592310.530329101</v>
      </c>
      <c r="K48" s="51">
        <f>J48</f>
        <v>21592310.530329101</v>
      </c>
      <c r="L48" s="51">
        <f>L10+L46-L45-L47</f>
        <v>22651392.542086668</v>
      </c>
      <c r="M48" s="51">
        <f>M10+M46-M45-M47</f>
        <v>23390021.885439321</v>
      </c>
      <c r="N48" s="51">
        <f>N10+N46-N45-N47</f>
        <v>23933184.149265587</v>
      </c>
    </row>
    <row r="49" spans="1:16" ht="15" customHeight="1" x14ac:dyDescent="0.2">
      <c r="A49" s="7" t="s">
        <v>757</v>
      </c>
      <c r="D49" s="64">
        <f>D18*4</f>
        <v>3905525.2783469916</v>
      </c>
      <c r="E49" s="64">
        <f>E18*4</f>
        <v>3961919.3796895742</v>
      </c>
      <c r="F49" s="64">
        <f>F18</f>
        <v>3864757.1645091409</v>
      </c>
      <c r="G49" s="64">
        <f>G18*4</f>
        <v>4268902.1317483895</v>
      </c>
      <c r="H49" s="64">
        <f>H18*4</f>
        <v>4257064.3259837162</v>
      </c>
      <c r="I49" s="64">
        <f>I18*4</f>
        <v>4334101.4440629054</v>
      </c>
      <c r="J49" s="64">
        <f>J18*4</f>
        <v>4438748.1159881111</v>
      </c>
      <c r="K49" s="64">
        <f>K18</f>
        <v>4324704.0044457801</v>
      </c>
      <c r="L49" s="64">
        <f>L18</f>
        <v>5004124.8516290616</v>
      </c>
      <c r="M49" s="64">
        <f>M18</f>
        <v>5504661.2548418362</v>
      </c>
      <c r="N49" s="64">
        <f>N18</f>
        <v>5935784.4156127023</v>
      </c>
    </row>
    <row r="50" spans="1:16" ht="15" customHeight="1" x14ac:dyDescent="0.2">
      <c r="A50" s="3" t="s">
        <v>758</v>
      </c>
      <c r="D50" s="67">
        <f t="shared" ref="D50:N50" si="0">D48/D49</f>
        <v>4.8186646624083673</v>
      </c>
      <c r="E50" s="67">
        <f t="shared" si="0"/>
        <v>4.87382942910964</v>
      </c>
      <c r="F50" s="68">
        <f t="shared" si="0"/>
        <v>4.996360300671923</v>
      </c>
      <c r="G50" s="67">
        <f t="shared" si="0"/>
        <v>4.6834351689307274</v>
      </c>
      <c r="H50" s="67">
        <f t="shared" si="0"/>
        <v>4.8247848948252798</v>
      </c>
      <c r="I50" s="67">
        <f t="shared" si="0"/>
        <v>4.8638252111603313</v>
      </c>
      <c r="J50" s="67">
        <f t="shared" si="0"/>
        <v>4.8645045778909735</v>
      </c>
      <c r="K50" s="68">
        <f t="shared" si="0"/>
        <v>4.9927834386196794</v>
      </c>
      <c r="L50" s="67">
        <f t="shared" si="0"/>
        <v>4.5265442437377734</v>
      </c>
      <c r="M50" s="67">
        <f t="shared" si="0"/>
        <v>4.249130110388851</v>
      </c>
      <c r="N50" s="67">
        <f t="shared" si="0"/>
        <v>4.0320170803904043</v>
      </c>
      <c r="P50" s="49" t="s">
        <v>759</v>
      </c>
    </row>
    <row r="51" spans="1:16" ht="15" customHeight="1" x14ac:dyDescent="0.2">
      <c r="A51" s="14" t="s">
        <v>1139</v>
      </c>
      <c r="B51" s="15"/>
      <c r="C51" s="15"/>
      <c r="D51" s="15"/>
      <c r="E51" s="15"/>
      <c r="F51" s="15"/>
      <c r="G51" s="15"/>
      <c r="H51" s="15"/>
      <c r="I51" s="15"/>
      <c r="J51" s="15"/>
      <c r="K51" s="15"/>
      <c r="L51" s="15"/>
      <c r="M51" s="15"/>
      <c r="N51" s="15"/>
    </row>
    <row r="52" spans="1:16" ht="15" customHeight="1" x14ac:dyDescent="0.2">
      <c r="A52" s="7" t="s">
        <v>760</v>
      </c>
      <c r="D52" s="69">
        <f>C55</f>
        <v>376675</v>
      </c>
      <c r="E52" s="69">
        <f>D55</f>
        <v>377675</v>
      </c>
      <c r="F52" s="69">
        <f>C55</f>
        <v>376675</v>
      </c>
      <c r="G52" s="69">
        <f>E55</f>
        <v>378675</v>
      </c>
      <c r="H52" s="69">
        <f>G55</f>
        <v>379675</v>
      </c>
      <c r="I52" s="69">
        <f>H55</f>
        <v>381429.51688974176</v>
      </c>
      <c r="J52" s="69">
        <f>I55</f>
        <v>383156.17744497291</v>
      </c>
      <c r="K52" s="69">
        <f>G52</f>
        <v>378675</v>
      </c>
      <c r="L52" s="69">
        <f>J55</f>
        <v>385249.57400472095</v>
      </c>
      <c r="M52" s="69">
        <f>L55</f>
        <v>394196.10044629901</v>
      </c>
      <c r="N52" s="69">
        <f>M55</f>
        <v>402005.62823707034</v>
      </c>
      <c r="P52" s="49" t="s">
        <v>761</v>
      </c>
    </row>
    <row r="53" spans="1:16" ht="15" customHeight="1" x14ac:dyDescent="0.2">
      <c r="A53" s="7" t="s">
        <v>762</v>
      </c>
      <c r="D53" s="69">
        <f>D40/D57</f>
        <v>0</v>
      </c>
      <c r="E53" s="69">
        <f>E40/E57</f>
        <v>0</v>
      </c>
      <c r="F53" s="69">
        <f>D53+E53</f>
        <v>0</v>
      </c>
      <c r="G53" s="69">
        <f>G40/G57</f>
        <v>0</v>
      </c>
      <c r="H53" s="69">
        <f>H40/H57</f>
        <v>754.51688974178899</v>
      </c>
      <c r="I53" s="69">
        <f>I40/I57</f>
        <v>726.66055523112834</v>
      </c>
      <c r="J53" s="69">
        <f>J40/J57</f>
        <v>1093.3965597480308</v>
      </c>
      <c r="K53" s="69">
        <f>G53+H53+I53+J53</f>
        <v>2574.5740047209483</v>
      </c>
      <c r="L53" s="69">
        <f>L40/L57</f>
        <v>4946.5264415780357</v>
      </c>
      <c r="M53" s="69">
        <f>M40/M57</f>
        <v>3809.5277907713562</v>
      </c>
      <c r="N53" s="69">
        <f>N40/N57</f>
        <v>2801.3939028638001</v>
      </c>
    </row>
    <row r="54" spans="1:16" ht="15" customHeight="1" x14ac:dyDescent="0.2">
      <c r="A54" s="7" t="s">
        <v>763</v>
      </c>
      <c r="D54" s="70">
        <v>1000</v>
      </c>
      <c r="E54" s="70">
        <v>1000</v>
      </c>
      <c r="F54" s="69">
        <f>D54+E54</f>
        <v>2000</v>
      </c>
      <c r="G54" s="70">
        <v>1000</v>
      </c>
      <c r="H54" s="70">
        <v>1000</v>
      </c>
      <c r="I54" s="70">
        <v>1000</v>
      </c>
      <c r="J54" s="70">
        <v>1000</v>
      </c>
      <c r="K54" s="69">
        <f>G54+H54+I54+J54</f>
        <v>4000</v>
      </c>
      <c r="L54" s="70">
        <v>4000</v>
      </c>
      <c r="M54" s="70">
        <v>4000</v>
      </c>
      <c r="N54" s="70">
        <v>4000</v>
      </c>
    </row>
    <row r="55" spans="1:16" ht="15" customHeight="1" x14ac:dyDescent="0.2">
      <c r="A55" s="3" t="s">
        <v>764</v>
      </c>
      <c r="C55" s="71">
        <v>376675</v>
      </c>
      <c r="D55" s="72">
        <f>D52+D53+D54</f>
        <v>377675</v>
      </c>
      <c r="E55" s="72">
        <f>E52+E53+E54</f>
        <v>378675</v>
      </c>
      <c r="F55" s="72">
        <f>E55</f>
        <v>378675</v>
      </c>
      <c r="G55" s="72">
        <f>G52+G53+G54</f>
        <v>379675</v>
      </c>
      <c r="H55" s="72">
        <f>H52+H53+H54</f>
        <v>381429.51688974176</v>
      </c>
      <c r="I55" s="72">
        <f>I52+I53+I54</f>
        <v>383156.17744497291</v>
      </c>
      <c r="J55" s="72">
        <f>J52+J53+J54</f>
        <v>385249.57400472095</v>
      </c>
      <c r="K55" s="72">
        <f>J55</f>
        <v>385249.57400472095</v>
      </c>
      <c r="L55" s="72">
        <f>L52+L53+L54</f>
        <v>394196.10044629901</v>
      </c>
      <c r="M55" s="72">
        <f>M52+M53+M54</f>
        <v>402005.62823707034</v>
      </c>
      <c r="N55" s="72">
        <f>N52+N53+N54</f>
        <v>408807.02213993412</v>
      </c>
    </row>
    <row r="57" spans="1:16" ht="15" customHeight="1" x14ac:dyDescent="0.2">
      <c r="A57" s="7" t="s">
        <v>765</v>
      </c>
      <c r="D57" s="65">
        <v>193.89</v>
      </c>
      <c r="E57" s="65">
        <v>193.89</v>
      </c>
      <c r="G57" s="65">
        <v>193.89</v>
      </c>
      <c r="H57" s="65">
        <v>193.89</v>
      </c>
      <c r="I57" s="65">
        <v>193.89</v>
      </c>
      <c r="J57" s="65">
        <v>193.89</v>
      </c>
      <c r="L57" s="65">
        <v>193.89</v>
      </c>
      <c r="M57" s="65">
        <v>193.89</v>
      </c>
      <c r="N57" s="65">
        <v>193.89</v>
      </c>
      <c r="P57" s="49" t="s">
        <v>766</v>
      </c>
    </row>
    <row r="58" spans="1:16" ht="15" customHeight="1" x14ac:dyDescent="0.2">
      <c r="A58" s="7" t="s">
        <v>767</v>
      </c>
      <c r="B58" s="73">
        <f>Historicals_Q!E93</f>
        <v>351059</v>
      </c>
      <c r="C58" s="73">
        <f>Historicals_Q!F93</f>
        <v>360181</v>
      </c>
      <c r="D58" s="69">
        <f>(D52+D55)/2</f>
        <v>377175</v>
      </c>
      <c r="E58" s="69">
        <f>(E52+E55)/2</f>
        <v>378175</v>
      </c>
      <c r="F58" s="69">
        <f>(B58+C58+D58+E58)/4</f>
        <v>366647.5</v>
      </c>
      <c r="G58" s="69">
        <f>(G52+G55)/2</f>
        <v>379175</v>
      </c>
      <c r="H58" s="69">
        <f>(H52+H55)/2</f>
        <v>380552.25844487088</v>
      </c>
      <c r="I58" s="69">
        <f>(I52+I55)/2</f>
        <v>382292.84716735734</v>
      </c>
      <c r="J58" s="69">
        <f>(J52+J55)/2</f>
        <v>384202.87572484696</v>
      </c>
      <c r="K58" s="69">
        <f>(G58+H58+I58+J58)/4</f>
        <v>381555.74533426878</v>
      </c>
      <c r="L58" s="69">
        <f>(L52+L55)/2</f>
        <v>389722.83722550998</v>
      </c>
      <c r="M58" s="69">
        <f>(M52+M55)/2</f>
        <v>398100.86434168468</v>
      </c>
      <c r="N58" s="69">
        <f>(N52+N55)/2</f>
        <v>405406.3251885022</v>
      </c>
    </row>
    <row r="59" spans="1:16" ht="15" customHeight="1" x14ac:dyDescent="0.2">
      <c r="A59" s="7" t="s">
        <v>768</v>
      </c>
      <c r="D59" s="70">
        <v>470</v>
      </c>
      <c r="E59" s="70">
        <v>470</v>
      </c>
      <c r="F59" s="70">
        <v>470</v>
      </c>
      <c r="G59" s="70">
        <v>470</v>
      </c>
      <c r="H59" s="70">
        <v>470</v>
      </c>
      <c r="I59" s="70">
        <v>470</v>
      </c>
      <c r="J59" s="70">
        <v>470</v>
      </c>
      <c r="K59" s="70">
        <v>470</v>
      </c>
      <c r="L59" s="70">
        <v>470</v>
      </c>
      <c r="M59" s="70">
        <v>470</v>
      </c>
      <c r="N59" s="70">
        <v>470</v>
      </c>
    </row>
    <row r="60" spans="1:16" ht="15" customHeight="1" x14ac:dyDescent="0.2">
      <c r="A60" s="3" t="s">
        <v>1140</v>
      </c>
      <c r="B60" s="72">
        <f>Historicals_Q!E95</f>
        <v>351293</v>
      </c>
      <c r="C60" s="72">
        <f>Historicals_Q!F95</f>
        <v>360648</v>
      </c>
      <c r="D60" s="74">
        <f t="shared" ref="D60:N60" si="1">D58+D59</f>
        <v>377645</v>
      </c>
      <c r="E60" s="74">
        <f t="shared" si="1"/>
        <v>378645</v>
      </c>
      <c r="F60" s="72">
        <f t="shared" si="1"/>
        <v>367117.5</v>
      </c>
      <c r="G60" s="74">
        <f t="shared" si="1"/>
        <v>379645</v>
      </c>
      <c r="H60" s="74">
        <f t="shared" si="1"/>
        <v>381022.25844487088</v>
      </c>
      <c r="I60" s="74">
        <f t="shared" si="1"/>
        <v>382762.84716735734</v>
      </c>
      <c r="J60" s="74">
        <f t="shared" si="1"/>
        <v>384672.87572484696</v>
      </c>
      <c r="K60" s="72">
        <f t="shared" si="1"/>
        <v>382025.74533426878</v>
      </c>
      <c r="L60" s="74">
        <f t="shared" si="1"/>
        <v>390192.83722550998</v>
      </c>
      <c r="M60" s="74">
        <f t="shared" si="1"/>
        <v>398570.86434168468</v>
      </c>
      <c r="N60" s="74">
        <f t="shared" si="1"/>
        <v>405876.3251885022</v>
      </c>
    </row>
    <row r="61" spans="1:16" ht="15" customHeight="1" x14ac:dyDescent="0.2">
      <c r="A61" s="7" t="s">
        <v>769</v>
      </c>
      <c r="D61" s="70">
        <v>6957</v>
      </c>
      <c r="E61" s="70">
        <v>6957</v>
      </c>
      <c r="F61" s="70">
        <v>6957</v>
      </c>
      <c r="G61" s="70">
        <v>6957</v>
      </c>
      <c r="H61" s="70">
        <v>6957</v>
      </c>
      <c r="I61" s="70">
        <v>6957</v>
      </c>
      <c r="J61" s="70">
        <v>6957</v>
      </c>
      <c r="K61" s="70">
        <v>6957</v>
      </c>
      <c r="L61" s="70">
        <v>6957</v>
      </c>
      <c r="M61" s="70">
        <v>6957</v>
      </c>
      <c r="N61" s="70">
        <v>6957</v>
      </c>
      <c r="P61" s="49" t="s">
        <v>1141</v>
      </c>
    </row>
    <row r="62" spans="1:16" ht="15" customHeight="1" x14ac:dyDescent="0.2">
      <c r="A62" s="3" t="s">
        <v>1142</v>
      </c>
      <c r="B62" s="72">
        <f>Historicals_Q!E94</f>
        <v>359300</v>
      </c>
      <c r="C62" s="72">
        <f>Historicals_Q!F94</f>
        <v>367605</v>
      </c>
      <c r="D62" s="72">
        <f t="shared" ref="D62:N62" si="2">D60+D61</f>
        <v>384602</v>
      </c>
      <c r="E62" s="72">
        <f t="shared" si="2"/>
        <v>385602</v>
      </c>
      <c r="F62" s="72">
        <f t="shared" si="2"/>
        <v>374074.5</v>
      </c>
      <c r="G62" s="72">
        <f t="shared" si="2"/>
        <v>386602</v>
      </c>
      <c r="H62" s="72">
        <f t="shared" si="2"/>
        <v>387979.25844487088</v>
      </c>
      <c r="I62" s="72">
        <f t="shared" si="2"/>
        <v>389719.84716735734</v>
      </c>
      <c r="J62" s="72">
        <f t="shared" si="2"/>
        <v>391629.87572484696</v>
      </c>
      <c r="K62" s="72">
        <f t="shared" si="2"/>
        <v>388982.74533426878</v>
      </c>
      <c r="L62" s="72">
        <f t="shared" si="2"/>
        <v>397149.83722550998</v>
      </c>
      <c r="M62" s="72">
        <f t="shared" si="2"/>
        <v>405527.86434168468</v>
      </c>
      <c r="N62" s="72">
        <f t="shared" si="2"/>
        <v>412833.3251885022</v>
      </c>
    </row>
    <row r="64" spans="1:16" ht="15" customHeight="1" x14ac:dyDescent="0.2">
      <c r="A64" s="14" t="s">
        <v>1127</v>
      </c>
      <c r="B64" s="15"/>
      <c r="C64" s="15"/>
      <c r="D64" s="15"/>
      <c r="E64" s="15"/>
      <c r="F64" s="15"/>
      <c r="G64" s="15"/>
      <c r="H64" s="15"/>
      <c r="I64" s="15"/>
      <c r="J64" s="15"/>
      <c r="K64" s="15"/>
      <c r="L64" s="15"/>
      <c r="M64" s="15"/>
      <c r="N64" s="15"/>
    </row>
    <row r="65" spans="1:2" ht="15" customHeight="1" x14ac:dyDescent="0.2">
      <c r="A65" s="3" t="s">
        <v>770</v>
      </c>
      <c r="B65" s="64">
        <f>F9</f>
        <v>1750000</v>
      </c>
    </row>
    <row r="66" spans="1:2" ht="15" customHeight="1" x14ac:dyDescent="0.2">
      <c r="A66" s="7" t="s">
        <v>771</v>
      </c>
      <c r="B66" s="64">
        <f>Source_Data!B93*1000</f>
        <v>1500000</v>
      </c>
    </row>
    <row r="67" spans="1:2" ht="15" customHeight="1" x14ac:dyDescent="0.2">
      <c r="A67" s="7" t="s">
        <v>772</v>
      </c>
      <c r="B67" s="64">
        <f>Source_Data!C93*1000</f>
        <v>2000000</v>
      </c>
    </row>
    <row r="68" spans="1:2" ht="15" customHeight="1" x14ac:dyDescent="0.2">
      <c r="A68" s="3" t="s">
        <v>773</v>
      </c>
      <c r="B68" s="59" t="str">
        <f>IF(AND(B65&gt;=B66,B65&lt;=B67),"PASS","FAIL")</f>
        <v>PASS</v>
      </c>
    </row>
    <row r="69" spans="1:2" ht="15" customHeight="1" x14ac:dyDescent="0.2">
      <c r="A69" s="3" t="s">
        <v>774</v>
      </c>
      <c r="B69" s="64">
        <f>F28</f>
        <v>4500000</v>
      </c>
    </row>
    <row r="70" spans="1:2" ht="15" customHeight="1" x14ac:dyDescent="0.2">
      <c r="A70" s="7" t="s">
        <v>771</v>
      </c>
      <c r="B70" s="64">
        <f>Source_Data!B90*1000</f>
        <v>4250000</v>
      </c>
    </row>
    <row r="71" spans="1:2" ht="15" customHeight="1" x14ac:dyDescent="0.2">
      <c r="A71" s="7" t="s">
        <v>772</v>
      </c>
      <c r="B71" s="64">
        <f>Source_Data!C90*1000</f>
        <v>4750000</v>
      </c>
    </row>
    <row r="72" spans="1:2" ht="15" customHeight="1" x14ac:dyDescent="0.2">
      <c r="A72" s="3" t="s">
        <v>775</v>
      </c>
      <c r="B72" s="59" t="str">
        <f>IF(AND(B69&gt;=B70,B69&lt;=B71),"PASS","FAIL")</f>
        <v>PASS</v>
      </c>
    </row>
    <row r="73" spans="1:2" ht="15" customHeight="1" x14ac:dyDescent="0.2">
      <c r="A73" s="3" t="s">
        <v>776</v>
      </c>
      <c r="B73" s="64">
        <f>F34</f>
        <v>1274000</v>
      </c>
    </row>
    <row r="74" spans="1:2" ht="15" customHeight="1" x14ac:dyDescent="0.2">
      <c r="A74" s="7" t="s">
        <v>771</v>
      </c>
      <c r="B74" s="64">
        <f>Source_Data!B89*1000</f>
        <v>1000000</v>
      </c>
    </row>
    <row r="75" spans="1:2" ht="15" customHeight="1" x14ac:dyDescent="0.2">
      <c r="A75" s="7" t="s">
        <v>772</v>
      </c>
      <c r="B75" s="64">
        <f>Source_Data!C89*1000</f>
        <v>1500000</v>
      </c>
    </row>
    <row r="76" spans="1:2" ht="15" customHeight="1" x14ac:dyDescent="0.2">
      <c r="A76" s="3" t="s">
        <v>777</v>
      </c>
      <c r="B76" s="59" t="str">
        <f>IF(AND(B73&gt;=B74,B73&lt;=B75),"PASS","FAIL")</f>
        <v>PASS</v>
      </c>
    </row>
    <row r="77" spans="1:2" ht="15" customHeight="1" x14ac:dyDescent="0.2">
      <c r="A77" s="3" t="s">
        <v>778</v>
      </c>
      <c r="B77" s="64">
        <f>D15+E15</f>
        <v>236238.43300000002</v>
      </c>
    </row>
    <row r="78" spans="1:2" ht="15" customHeight="1" x14ac:dyDescent="0.2">
      <c r="A78" s="7" t="s">
        <v>779</v>
      </c>
      <c r="B78" s="64">
        <f>B15+C15</f>
        <v>230327</v>
      </c>
    </row>
    <row r="80" spans="1:2" ht="15" customHeight="1" x14ac:dyDescent="0.2">
      <c r="A80" s="3" t="s">
        <v>780</v>
      </c>
      <c r="B80" s="75">
        <f>N55/C55-1</f>
        <v>8.5304366204112636E-2</v>
      </c>
    </row>
    <row r="81" spans="1:2" ht="15" customHeight="1" x14ac:dyDescent="0.2">
      <c r="A81" s="7" t="s">
        <v>781</v>
      </c>
      <c r="B81" s="64">
        <f>F40+K40+L40+M40+N40</f>
        <v>2740057.7727118302</v>
      </c>
    </row>
    <row r="82" spans="1:2" ht="15" customHeight="1" x14ac:dyDescent="0.2">
      <c r="A82" s="3" t="s">
        <v>782</v>
      </c>
      <c r="B82" s="76">
        <f>MAX(D50:J50,L50:N50)</f>
        <v>4.996360300671923</v>
      </c>
    </row>
    <row r="84" spans="1:2" ht="15" customHeight="1" x14ac:dyDescent="0.2">
      <c r="A84" s="3" t="s">
        <v>783</v>
      </c>
      <c r="B84" s="59" t="str">
        <f>IF(SUMPRODUCT(MAX(ABS(CHOOSE({1,2,3,4,5,6,7,8,9},D45,E45,G45,H45,I45,J45,L45,M45,N45)-CHOOSE({1,2,3,4,5,6,7,8,9},D44,E44,G44,H44,I44,J44,L44,M44,N44)-CHOOSE({1,2,3,4,5,6,7,8,9},D25,E25,G25,H25,I25,J25,L25,M25,N25)-CHOOSE({1,2,3,4,5,6,7,8,9},D34,E34,G34,H34,I34,J34,L34,M34,N34)-CHOOSE({1,2,3,4,5,6,7,8,9},D39,E39,G39,H39,I39,J39,L39,M39,N39)-CHOOSE({1,2,3,4,5,6,7,8,9},D40,E40,G40,H40,I40,J40,L40,M40,N40)+CHOOSE({1,2,3,4,5,6,7,8,9},D31,E31,G31,H31,I31,J31,L31,M31,N31))))&lt;1,"PASS","FAIL")</f>
        <v>PASS</v>
      </c>
    </row>
    <row r="85" spans="1:2" ht="15" customHeight="1" x14ac:dyDescent="0.2">
      <c r="A85" s="3" t="s">
        <v>784</v>
      </c>
      <c r="B85" s="64">
        <f>F29</f>
        <v>411339</v>
      </c>
    </row>
    <row r="86" spans="1:2" ht="15" customHeight="1" x14ac:dyDescent="0.2">
      <c r="A86" s="7" t="s">
        <v>771</v>
      </c>
      <c r="B86" s="64">
        <f>Source_Data!B92*1000</f>
        <v>400000</v>
      </c>
    </row>
    <row r="87" spans="1:2" ht="15" customHeight="1" x14ac:dyDescent="0.2">
      <c r="A87" s="7" t="s">
        <v>772</v>
      </c>
      <c r="B87" s="64">
        <f>Source_Data!C92*1000</f>
        <v>425000</v>
      </c>
    </row>
    <row r="88" spans="1:2" ht="15" customHeight="1" x14ac:dyDescent="0.2">
      <c r="A88" s="3" t="s">
        <v>785</v>
      </c>
      <c r="B88" s="59" t="str">
        <f>IF(AND(B85&gt;=B86,B85&lt;=B87),"PASS","FAIL")</f>
        <v>PASS</v>
      </c>
    </row>
  </sheetData>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3"/>
  <sheetViews>
    <sheetView showGridLines="0" zoomScale="142" zoomScaleNormal="100" workbookViewId="0">
      <selection activeCell="A22" sqref="A22"/>
    </sheetView>
  </sheetViews>
  <sheetFormatPr baseColWidth="10" defaultColWidth="8.6640625" defaultRowHeight="15" x14ac:dyDescent="0.2"/>
  <cols>
    <col min="1" max="1" width="62" customWidth="1"/>
    <col min="2" max="6" width="14" customWidth="1"/>
    <col min="7" max="7" width="10.1640625" bestFit="1" customWidth="1"/>
    <col min="8" max="8" width="46" customWidth="1"/>
  </cols>
  <sheetData>
    <row r="1" spans="1:8" ht="15.75" customHeight="1" x14ac:dyDescent="0.2">
      <c r="A1" s="1" t="s">
        <v>1049</v>
      </c>
    </row>
    <row r="2" spans="1:8" ht="15" customHeight="1" x14ac:dyDescent="0.2">
      <c r="A2" s="2" t="s">
        <v>319</v>
      </c>
    </row>
    <row r="3" spans="1:8" ht="15" customHeight="1" x14ac:dyDescent="0.2">
      <c r="A3" s="2" t="s">
        <v>320</v>
      </c>
    </row>
    <row r="5" spans="1:8" ht="15" customHeight="1" x14ac:dyDescent="0.2">
      <c r="A5" s="8" t="s">
        <v>321</v>
      </c>
      <c r="B5" s="13" t="s">
        <v>322</v>
      </c>
      <c r="C5" s="13" t="s">
        <v>323</v>
      </c>
      <c r="D5" s="13" t="s">
        <v>324</v>
      </c>
      <c r="E5" s="13" t="s">
        <v>325</v>
      </c>
      <c r="F5" s="13" t="s">
        <v>326</v>
      </c>
    </row>
    <row r="7" spans="1:8" ht="15" customHeight="1" x14ac:dyDescent="0.2">
      <c r="A7" s="14" t="s">
        <v>327</v>
      </c>
      <c r="B7" s="15"/>
      <c r="C7" s="15"/>
      <c r="D7" s="15"/>
      <c r="E7" s="15"/>
      <c r="F7" s="15"/>
    </row>
    <row r="8" spans="1:8" ht="15" customHeight="1" x14ac:dyDescent="0.2">
      <c r="A8" s="3" t="s">
        <v>328</v>
      </c>
    </row>
    <row r="9" spans="1:8" ht="15" customHeight="1" x14ac:dyDescent="0.2">
      <c r="A9" s="4" t="s">
        <v>329</v>
      </c>
      <c r="B9" s="16">
        <v>1003550</v>
      </c>
      <c r="C9" s="16">
        <v>1045708</v>
      </c>
      <c r="D9" s="16">
        <v>1074703</v>
      </c>
      <c r="E9" s="16">
        <v>1103946</v>
      </c>
      <c r="F9" s="16">
        <v>1145936</v>
      </c>
    </row>
    <row r="10" spans="1:8" ht="15" customHeight="1" x14ac:dyDescent="0.2">
      <c r="A10" s="4" t="s">
        <v>1043</v>
      </c>
      <c r="B10" s="16">
        <v>294503</v>
      </c>
      <c r="C10" s="16">
        <v>332681</v>
      </c>
      <c r="D10" s="16">
        <v>356084</v>
      </c>
      <c r="E10" s="16">
        <v>333909</v>
      </c>
      <c r="F10" s="16">
        <v>352897</v>
      </c>
    </row>
    <row r="11" spans="1:8" ht="15" customHeight="1" x14ac:dyDescent="0.2">
      <c r="A11" s="4" t="s">
        <v>1044</v>
      </c>
      <c r="B11" s="16">
        <v>37355</v>
      </c>
      <c r="C11" s="16">
        <v>37302</v>
      </c>
      <c r="D11" s="16">
        <v>34406</v>
      </c>
      <c r="E11" s="16">
        <v>38093</v>
      </c>
      <c r="F11" s="16">
        <v>45391</v>
      </c>
    </row>
    <row r="12" spans="1:8" ht="15" customHeight="1" x14ac:dyDescent="0.2">
      <c r="A12" s="4" t="s">
        <v>330</v>
      </c>
      <c r="B12" s="16">
        <v>121952</v>
      </c>
      <c r="C12" s="16">
        <v>120399</v>
      </c>
      <c r="D12" s="16">
        <v>123414</v>
      </c>
      <c r="E12" s="16">
        <v>124278</v>
      </c>
      <c r="F12" s="16">
        <v>130409</v>
      </c>
    </row>
    <row r="13" spans="1:8" ht="15" customHeight="1" x14ac:dyDescent="0.2">
      <c r="A13" s="4" t="s">
        <v>331</v>
      </c>
      <c r="B13" s="16">
        <v>34427</v>
      </c>
      <c r="C13" s="16">
        <v>36398</v>
      </c>
      <c r="D13" s="16">
        <v>45692</v>
      </c>
      <c r="E13" s="16">
        <v>34899</v>
      </c>
      <c r="F13" s="16">
        <v>248927</v>
      </c>
      <c r="H13" s="2" t="s">
        <v>332</v>
      </c>
    </row>
    <row r="14" spans="1:8" ht="15" customHeight="1" x14ac:dyDescent="0.2">
      <c r="A14" s="4" t="s">
        <v>333</v>
      </c>
      <c r="B14" s="16">
        <v>1363</v>
      </c>
      <c r="C14" s="16">
        <v>4746</v>
      </c>
      <c r="D14" s="16">
        <v>372</v>
      </c>
      <c r="E14" s="16">
        <v>47</v>
      </c>
      <c r="F14" s="16">
        <v>480</v>
      </c>
    </row>
    <row r="15" spans="1:8" ht="15" customHeight="1" x14ac:dyDescent="0.2">
      <c r="A15" s="17" t="s">
        <v>334</v>
      </c>
      <c r="B15" s="18">
        <f>SUM(B9:B14)</f>
        <v>1493150</v>
      </c>
      <c r="C15" s="18">
        <f>SUM(C9:C14)</f>
        <v>1577234</v>
      </c>
      <c r="D15" s="18">
        <f>SUM(D9:D14)</f>
        <v>1634671</v>
      </c>
      <c r="E15" s="18">
        <f>SUM(E9:E14)</f>
        <v>1635172</v>
      </c>
      <c r="F15" s="18">
        <f>SUM(F9:F14)</f>
        <v>1924040</v>
      </c>
      <c r="G15" s="100"/>
      <c r="H15" s="101"/>
    </row>
    <row r="17" spans="1:8" ht="15" customHeight="1" x14ac:dyDescent="0.2">
      <c r="A17" s="3" t="s">
        <v>335</v>
      </c>
    </row>
    <row r="18" spans="1:8" ht="15" customHeight="1" x14ac:dyDescent="0.2">
      <c r="A18" s="4" t="s">
        <v>336</v>
      </c>
      <c r="B18" s="16">
        <v>339288</v>
      </c>
      <c r="C18" s="16">
        <v>375627</v>
      </c>
      <c r="D18" s="16">
        <v>398185</v>
      </c>
      <c r="E18" s="16">
        <v>372385</v>
      </c>
      <c r="F18" s="16">
        <v>396454</v>
      </c>
      <c r="H18" s="2" t="s">
        <v>337</v>
      </c>
    </row>
    <row r="19" spans="1:8" ht="15" customHeight="1" x14ac:dyDescent="0.2">
      <c r="A19" s="4" t="s">
        <v>338</v>
      </c>
      <c r="B19" s="16">
        <v>267724</v>
      </c>
      <c r="C19" s="16">
        <v>278292</v>
      </c>
      <c r="D19" s="16">
        <v>295948</v>
      </c>
      <c r="E19" s="16">
        <v>266115</v>
      </c>
      <c r="F19" s="16">
        <v>291408</v>
      </c>
    </row>
    <row r="20" spans="1:8" ht="15" customHeight="1" x14ac:dyDescent="0.2">
      <c r="A20" s="4" t="s">
        <v>339</v>
      </c>
      <c r="B20" s="16">
        <v>49570</v>
      </c>
      <c r="C20" s="16">
        <v>51823</v>
      </c>
      <c r="D20" s="16">
        <v>50791</v>
      </c>
      <c r="E20" s="16">
        <v>54964</v>
      </c>
      <c r="F20" s="16">
        <v>55160</v>
      </c>
    </row>
    <row r="21" spans="1:8" ht="15" customHeight="1" x14ac:dyDescent="0.2">
      <c r="A21" s="4" t="s">
        <v>340</v>
      </c>
      <c r="B21" s="16">
        <v>4946</v>
      </c>
      <c r="C21" s="16">
        <v>4508</v>
      </c>
      <c r="D21" s="16">
        <v>4711</v>
      </c>
      <c r="E21" s="16">
        <v>4799</v>
      </c>
      <c r="F21" s="16">
        <v>4744</v>
      </c>
    </row>
    <row r="22" spans="1:8" ht="15" customHeight="1" x14ac:dyDescent="0.2">
      <c r="A22" s="4" t="s">
        <v>341</v>
      </c>
      <c r="B22" s="16">
        <v>461167</v>
      </c>
      <c r="C22" s="16">
        <v>497002</v>
      </c>
      <c r="D22" s="16">
        <v>493458</v>
      </c>
      <c r="E22" s="16">
        <v>499511</v>
      </c>
      <c r="F22" s="16">
        <v>507106</v>
      </c>
    </row>
    <row r="23" spans="1:8" ht="15" customHeight="1" x14ac:dyDescent="0.2">
      <c r="A23" s="4" t="s">
        <v>342</v>
      </c>
      <c r="B23" s="16">
        <v>133755</v>
      </c>
      <c r="C23" s="16">
        <v>139911</v>
      </c>
      <c r="D23" s="16">
        <v>159283</v>
      </c>
      <c r="E23" s="16">
        <v>151923</v>
      </c>
      <c r="F23" s="16">
        <v>153316</v>
      </c>
    </row>
    <row r="24" spans="1:8" ht="15" customHeight="1" x14ac:dyDescent="0.2">
      <c r="A24" s="4" t="s">
        <v>343</v>
      </c>
      <c r="B24" s="16">
        <v>2262</v>
      </c>
      <c r="C24" s="16">
        <v>1794</v>
      </c>
      <c r="D24" s="16">
        <v>4937</v>
      </c>
      <c r="E24" s="16">
        <v>2835</v>
      </c>
      <c r="F24" s="16">
        <v>4384</v>
      </c>
    </row>
    <row r="25" spans="1:8" ht="15" customHeight="1" x14ac:dyDescent="0.2">
      <c r="A25" s="4" t="s">
        <v>344</v>
      </c>
      <c r="B25" s="16">
        <v>22546</v>
      </c>
      <c r="C25" s="16">
        <v>86559</v>
      </c>
      <c r="D25" s="16">
        <v>36083</v>
      </c>
      <c r="E25" s="16">
        <v>15685</v>
      </c>
      <c r="F25" s="16">
        <v>38703</v>
      </c>
    </row>
    <row r="26" spans="1:8" ht="15" customHeight="1" x14ac:dyDescent="0.2">
      <c r="A26" s="4" t="s">
        <v>345</v>
      </c>
      <c r="B26" s="16">
        <v>0</v>
      </c>
      <c r="C26" s="16">
        <v>0</v>
      </c>
      <c r="D26" s="16">
        <v>78553</v>
      </c>
      <c r="E26" s="16">
        <v>0</v>
      </c>
      <c r="F26" s="16">
        <v>0</v>
      </c>
    </row>
    <row r="27" spans="1:8" ht="15" customHeight="1" x14ac:dyDescent="0.2">
      <c r="A27" s="4" t="s">
        <v>346</v>
      </c>
      <c r="B27" s="16">
        <v>195</v>
      </c>
      <c r="C27" s="16">
        <v>3297</v>
      </c>
      <c r="D27" s="16">
        <v>98</v>
      </c>
      <c r="E27" s="16">
        <v>23</v>
      </c>
      <c r="F27" s="16">
        <v>13508</v>
      </c>
    </row>
    <row r="28" spans="1:8" ht="15" customHeight="1" x14ac:dyDescent="0.2">
      <c r="A28" s="17" t="s">
        <v>347</v>
      </c>
      <c r="B28" s="18">
        <f>SUM(B18:B27)</f>
        <v>1281453</v>
      </c>
      <c r="C28" s="18">
        <f>SUM(C18:C27)</f>
        <v>1438813</v>
      </c>
      <c r="D28" s="18">
        <f>SUM(D18:D27)</f>
        <v>1522047</v>
      </c>
      <c r="E28" s="18">
        <f>SUM(E18:E27)</f>
        <v>1368240</v>
      </c>
      <c r="F28" s="18">
        <f>SUM(F18:F27)</f>
        <v>1464783</v>
      </c>
    </row>
    <row r="30" spans="1:8" ht="15" customHeight="1" x14ac:dyDescent="0.2">
      <c r="A30" s="3" t="s">
        <v>348</v>
      </c>
      <c r="B30" s="19">
        <f>B15-B28</f>
        <v>211697</v>
      </c>
      <c r="C30" s="19">
        <f>C15-C28</f>
        <v>138421</v>
      </c>
      <c r="D30" s="19">
        <f>D15-D28</f>
        <v>112624</v>
      </c>
      <c r="E30" s="19">
        <f>E15-E28</f>
        <v>266932</v>
      </c>
      <c r="F30" s="19">
        <f>F15-F28</f>
        <v>459257</v>
      </c>
    </row>
    <row r="31" spans="1:8" ht="15" customHeight="1" x14ac:dyDescent="0.2">
      <c r="A31" s="4" t="s">
        <v>349</v>
      </c>
      <c r="B31" s="16">
        <v>931830</v>
      </c>
      <c r="C31" s="16">
        <v>19780</v>
      </c>
      <c r="D31" s="16">
        <v>42865</v>
      </c>
      <c r="E31" s="16">
        <v>873</v>
      </c>
      <c r="F31" s="16">
        <v>7988</v>
      </c>
    </row>
    <row r="32" spans="1:8" ht="15" customHeight="1" x14ac:dyDescent="0.2">
      <c r="A32" s="3" t="s">
        <v>350</v>
      </c>
      <c r="B32" s="19">
        <f>B30+B31</f>
        <v>1143527</v>
      </c>
      <c r="C32" s="19">
        <f>C30+C31</f>
        <v>158201</v>
      </c>
      <c r="D32" s="19">
        <f>D30+D31</f>
        <v>155489</v>
      </c>
      <c r="E32" s="19">
        <f>E30+E31</f>
        <v>267805</v>
      </c>
      <c r="F32" s="19">
        <f>F30+F31</f>
        <v>467245</v>
      </c>
    </row>
    <row r="33" spans="1:8" ht="15" customHeight="1" x14ac:dyDescent="0.2">
      <c r="A33" s="4" t="s">
        <v>351</v>
      </c>
      <c r="B33" s="16">
        <v>-12062</v>
      </c>
      <c r="C33" s="16">
        <v>-16944</v>
      </c>
      <c r="D33" s="16">
        <v>4659</v>
      </c>
      <c r="E33" s="16">
        <v>-1833</v>
      </c>
      <c r="F33" s="16">
        <v>36</v>
      </c>
    </row>
    <row r="34" spans="1:8" ht="15" customHeight="1" x14ac:dyDescent="0.2">
      <c r="A34" s="4" t="s">
        <v>352</v>
      </c>
      <c r="B34" s="16">
        <v>37747</v>
      </c>
      <c r="C34" s="16">
        <v>47735</v>
      </c>
      <c r="D34" s="16">
        <v>42797</v>
      </c>
      <c r="E34" s="16">
        <v>45342</v>
      </c>
      <c r="F34" s="16">
        <v>137944</v>
      </c>
      <c r="H34" s="2" t="s">
        <v>353</v>
      </c>
    </row>
    <row r="35" spans="1:8" ht="15" customHeight="1" x14ac:dyDescent="0.2">
      <c r="A35" s="4" t="s">
        <v>354</v>
      </c>
      <c r="B35" s="16">
        <v>-109383</v>
      </c>
      <c r="C35" s="16">
        <v>-113584</v>
      </c>
      <c r="D35" s="16">
        <v>-116516</v>
      </c>
      <c r="E35" s="16">
        <v>-116384</v>
      </c>
      <c r="F35" s="16">
        <v>-113943</v>
      </c>
    </row>
    <row r="36" spans="1:8" ht="15" customHeight="1" x14ac:dyDescent="0.2">
      <c r="A36" s="4" t="s">
        <v>355</v>
      </c>
      <c r="B36" s="16">
        <v>0</v>
      </c>
      <c r="C36" s="16">
        <v>0</v>
      </c>
      <c r="D36" s="16">
        <v>9</v>
      </c>
      <c r="E36" s="16">
        <v>-4119</v>
      </c>
      <c r="F36" s="16">
        <v>0</v>
      </c>
    </row>
    <row r="37" spans="1:8" ht="15" customHeight="1" x14ac:dyDescent="0.2">
      <c r="A37" s="4" t="s">
        <v>356</v>
      </c>
      <c r="B37" s="16">
        <v>-12883</v>
      </c>
      <c r="C37" s="16">
        <v>-11694</v>
      </c>
      <c r="D37" s="16">
        <v>9673</v>
      </c>
      <c r="E37" s="16">
        <v>-16008</v>
      </c>
      <c r="F37" s="16">
        <v>-33675</v>
      </c>
      <c r="H37" s="2"/>
    </row>
    <row r="38" spans="1:8" ht="15" customHeight="1" x14ac:dyDescent="0.2">
      <c r="A38" s="3" t="s">
        <v>357</v>
      </c>
      <c r="B38" s="19">
        <f>B32+SUM(B33:B37)</f>
        <v>1046946</v>
      </c>
      <c r="C38" s="19">
        <f>C32+SUM(C33:C37)</f>
        <v>63714</v>
      </c>
      <c r="D38" s="19">
        <f>D32+SUM(D33:D37)</f>
        <v>96111</v>
      </c>
      <c r="E38" s="19">
        <f>E32+SUM(E33:E37)</f>
        <v>174803</v>
      </c>
      <c r="F38" s="19">
        <f>F32+SUM(F33:F37)</f>
        <v>457607</v>
      </c>
    </row>
    <row r="39" spans="1:8" ht="15" customHeight="1" x14ac:dyDescent="0.2">
      <c r="A39" s="4" t="s">
        <v>358</v>
      </c>
      <c r="B39" s="16">
        <v>-14790</v>
      </c>
      <c r="C39" s="16">
        <v>4099</v>
      </c>
      <c r="D39" s="16">
        <v>2536</v>
      </c>
      <c r="E39" s="16">
        <v>4470</v>
      </c>
      <c r="F39" s="16">
        <v>-4318</v>
      </c>
      <c r="H39" s="2"/>
    </row>
    <row r="40" spans="1:8" ht="15" customHeight="1" x14ac:dyDescent="0.2">
      <c r="A40" s="4" t="s">
        <v>359</v>
      </c>
      <c r="B40" s="16">
        <v>-10181</v>
      </c>
      <c r="C40" s="16">
        <v>-10181</v>
      </c>
      <c r="D40" s="16">
        <v>-10181</v>
      </c>
      <c r="E40" s="16">
        <v>-10181</v>
      </c>
      <c r="F40" s="16">
        <v>-10181</v>
      </c>
    </row>
    <row r="41" spans="1:8" ht="15" customHeight="1" x14ac:dyDescent="0.2">
      <c r="A41" s="17" t="s">
        <v>360</v>
      </c>
      <c r="B41" s="18">
        <f>B38+B39+B40</f>
        <v>1021975</v>
      </c>
      <c r="C41" s="18">
        <f>C38+C39+C40</f>
        <v>57632</v>
      </c>
      <c r="D41" s="18">
        <f>D38+D39+D40</f>
        <v>88466</v>
      </c>
      <c r="E41" s="18">
        <f>E38+E39+E40</f>
        <v>169092</v>
      </c>
      <c r="F41" s="18">
        <f>F38+F39+F40</f>
        <v>443108</v>
      </c>
    </row>
    <row r="42" spans="1:8" ht="15" hidden="1" customHeight="1" x14ac:dyDescent="0.2">
      <c r="A42" s="4" t="s">
        <v>1042</v>
      </c>
      <c r="B42" s="16">
        <v>1021975</v>
      </c>
      <c r="C42" s="16">
        <v>57631</v>
      </c>
      <c r="D42" s="16">
        <v>88466</v>
      </c>
      <c r="E42" s="16">
        <v>169093</v>
      </c>
      <c r="F42" s="16">
        <v>443108</v>
      </c>
    </row>
    <row r="43" spans="1:8" ht="15" hidden="1" customHeight="1" x14ac:dyDescent="0.2">
      <c r="A43" s="4" t="s">
        <v>361</v>
      </c>
      <c r="B43" s="20">
        <f>B41-B42</f>
        <v>0</v>
      </c>
      <c r="C43" s="20">
        <f>C41-C42</f>
        <v>1</v>
      </c>
      <c r="D43" s="20">
        <f>D41-D42</f>
        <v>0</v>
      </c>
      <c r="E43" s="20">
        <f>E41-E42</f>
        <v>-1</v>
      </c>
      <c r="F43" s="20">
        <f>F41-F42</f>
        <v>0</v>
      </c>
    </row>
    <row r="45" spans="1:8" ht="15" customHeight="1" x14ac:dyDescent="0.2">
      <c r="A45" s="14" t="s">
        <v>362</v>
      </c>
      <c r="B45" s="15"/>
      <c r="C45" s="15"/>
      <c r="D45" s="15"/>
      <c r="E45" s="15"/>
      <c r="F45" s="15"/>
    </row>
    <row r="46" spans="1:8" ht="15" customHeight="1" x14ac:dyDescent="0.2">
      <c r="A46" s="4" t="s">
        <v>360</v>
      </c>
      <c r="B46" s="21">
        <f>B41</f>
        <v>1021975</v>
      </c>
      <c r="C46" s="21">
        <f>C41</f>
        <v>57632</v>
      </c>
      <c r="D46" s="21">
        <f>D41</f>
        <v>88466</v>
      </c>
      <c r="E46" s="21">
        <f>E41</f>
        <v>169092</v>
      </c>
      <c r="F46" s="21">
        <f>F41</f>
        <v>443108</v>
      </c>
    </row>
    <row r="47" spans="1:8" ht="15" customHeight="1" x14ac:dyDescent="0.2">
      <c r="A47" s="4" t="s">
        <v>363</v>
      </c>
      <c r="B47" s="16">
        <v>21000</v>
      </c>
      <c r="C47" s="16">
        <v>2000</v>
      </c>
      <c r="D47" s="16">
        <v>2000</v>
      </c>
      <c r="E47" s="16">
        <v>4000</v>
      </c>
      <c r="F47" s="16">
        <v>9000</v>
      </c>
    </row>
    <row r="48" spans="1:8" ht="15" customHeight="1" x14ac:dyDescent="0.2">
      <c r="A48" s="4" t="s">
        <v>364</v>
      </c>
      <c r="B48" s="21">
        <f>B22-B77</f>
        <v>451050</v>
      </c>
      <c r="C48" s="21">
        <f>C22-C77</f>
        <v>487182</v>
      </c>
      <c r="D48" s="21">
        <f>D22-D77</f>
        <v>484260</v>
      </c>
      <c r="E48" s="21">
        <f>E22-E77</f>
        <v>490965</v>
      </c>
      <c r="F48" s="21">
        <f>F22-F77</f>
        <v>499106</v>
      </c>
      <c r="H48" s="2" t="s">
        <v>365</v>
      </c>
    </row>
    <row r="49" spans="1:6" ht="15" customHeight="1" x14ac:dyDescent="0.2">
      <c r="A49" s="4" t="s">
        <v>366</v>
      </c>
      <c r="B49" s="16">
        <v>-21038</v>
      </c>
      <c r="C49" s="16">
        <v>-22888</v>
      </c>
      <c r="D49" s="16">
        <v>-22753</v>
      </c>
      <c r="E49" s="16">
        <v>-23726</v>
      </c>
      <c r="F49" s="16">
        <v>-24292</v>
      </c>
    </row>
    <row r="50" spans="1:6" ht="15" customHeight="1" x14ac:dyDescent="0.2">
      <c r="A50" s="4" t="s">
        <v>367</v>
      </c>
      <c r="B50" s="16">
        <v>59172</v>
      </c>
      <c r="C50" s="16">
        <v>65922</v>
      </c>
      <c r="D50" s="16">
        <v>70260</v>
      </c>
      <c r="E50" s="16">
        <v>60291</v>
      </c>
      <c r="F50" s="16">
        <v>62972</v>
      </c>
    </row>
    <row r="51" spans="1:6" ht="15" customHeight="1" x14ac:dyDescent="0.2">
      <c r="A51" s="4" t="s">
        <v>368</v>
      </c>
      <c r="B51" s="16">
        <v>-931830</v>
      </c>
      <c r="C51" s="16">
        <v>-19780</v>
      </c>
      <c r="D51" s="16">
        <v>-42865</v>
      </c>
      <c r="E51" s="16">
        <v>-226</v>
      </c>
      <c r="F51" s="16">
        <v>-7988</v>
      </c>
    </row>
    <row r="52" spans="1:6" ht="15" customHeight="1" x14ac:dyDescent="0.2">
      <c r="A52" s="4" t="s">
        <v>345</v>
      </c>
      <c r="B52" s="16">
        <v>0</v>
      </c>
      <c r="C52" s="16">
        <v>0</v>
      </c>
      <c r="D52" s="16">
        <v>78553</v>
      </c>
      <c r="E52" s="16">
        <v>0</v>
      </c>
      <c r="F52" s="16">
        <v>0</v>
      </c>
    </row>
    <row r="53" spans="1:6" ht="15" customHeight="1" x14ac:dyDescent="0.2">
      <c r="A53" s="17" t="s">
        <v>369</v>
      </c>
      <c r="B53" s="18">
        <f>SUM(B46:B52)</f>
        <v>600329</v>
      </c>
      <c r="C53" s="18">
        <f>SUM(C46:C52)</f>
        <v>570068</v>
      </c>
      <c r="D53" s="18">
        <f>SUM(D46:D52)</f>
        <v>657921</v>
      </c>
      <c r="E53" s="18">
        <f>SUM(E46:E52)</f>
        <v>700396</v>
      </c>
      <c r="F53" s="18">
        <f>SUM(F46:F52)</f>
        <v>981906</v>
      </c>
    </row>
    <row r="54" spans="1:6" ht="15" hidden="1" customHeight="1" x14ac:dyDescent="0.2">
      <c r="A54" s="4" t="s">
        <v>1045</v>
      </c>
      <c r="B54" s="16">
        <v>600329</v>
      </c>
      <c r="C54" s="16">
        <v>570067</v>
      </c>
      <c r="D54" s="16">
        <v>657921</v>
      </c>
      <c r="E54" s="16">
        <v>700398</v>
      </c>
      <c r="F54" s="16">
        <v>981906</v>
      </c>
    </row>
    <row r="55" spans="1:6" ht="15" hidden="1" customHeight="1" x14ac:dyDescent="0.2">
      <c r="A55" s="4" t="s">
        <v>361</v>
      </c>
      <c r="B55" s="20">
        <f>B53-B54</f>
        <v>0</v>
      </c>
      <c r="C55" s="20">
        <f>C53-C54</f>
        <v>1</v>
      </c>
      <c r="D55" s="20">
        <f>D53-D54</f>
        <v>0</v>
      </c>
      <c r="E55" s="20">
        <f>E53-E54</f>
        <v>-2</v>
      </c>
      <c r="F55" s="20">
        <f>F53-F54</f>
        <v>0</v>
      </c>
    </row>
    <row r="57" spans="1:6" ht="15" customHeight="1" x14ac:dyDescent="0.2">
      <c r="A57" s="14" t="s">
        <v>370</v>
      </c>
      <c r="B57" s="15"/>
      <c r="C57" s="15"/>
      <c r="D57" s="15"/>
      <c r="E57" s="15"/>
      <c r="F57" s="15"/>
    </row>
    <row r="58" spans="1:6" ht="15" customHeight="1" x14ac:dyDescent="0.2">
      <c r="A58" s="4" t="s">
        <v>369</v>
      </c>
      <c r="B58" s="21">
        <f>B53</f>
        <v>600329</v>
      </c>
      <c r="C58" s="21">
        <f>C53</f>
        <v>570068</v>
      </c>
      <c r="D58" s="21">
        <f>D53</f>
        <v>657921</v>
      </c>
      <c r="E58" s="21">
        <f>E53</f>
        <v>700396</v>
      </c>
      <c r="F58" s="21">
        <f>F53</f>
        <v>981906</v>
      </c>
    </row>
    <row r="59" spans="1:6" ht="15" customHeight="1" x14ac:dyDescent="0.2">
      <c r="A59" s="4" t="s">
        <v>371</v>
      </c>
      <c r="B59" s="16">
        <v>4228</v>
      </c>
      <c r="C59" s="16">
        <v>-4746</v>
      </c>
      <c r="D59" s="16">
        <v>-10633</v>
      </c>
      <c r="E59" s="16">
        <v>-29</v>
      </c>
      <c r="F59" s="16">
        <v>-80837</v>
      </c>
    </row>
    <row r="60" spans="1:6" ht="15" customHeight="1" x14ac:dyDescent="0.2">
      <c r="A60" s="4" t="s">
        <v>344</v>
      </c>
      <c r="B60" s="16">
        <v>22546</v>
      </c>
      <c r="C60" s="16">
        <v>86559</v>
      </c>
      <c r="D60" s="16">
        <v>36083</v>
      </c>
      <c r="E60" s="16">
        <v>15685</v>
      </c>
      <c r="F60" s="16">
        <v>38703</v>
      </c>
    </row>
    <row r="61" spans="1:6" ht="15" customHeight="1" x14ac:dyDescent="0.2">
      <c r="A61" s="4" t="s">
        <v>372</v>
      </c>
      <c r="B61" s="16">
        <v>0</v>
      </c>
      <c r="C61" s="16">
        <v>0</v>
      </c>
      <c r="D61" s="16">
        <v>-9</v>
      </c>
      <c r="E61" s="16">
        <v>4119</v>
      </c>
      <c r="F61" s="16">
        <v>0</v>
      </c>
    </row>
    <row r="62" spans="1:6" ht="15" customHeight="1" x14ac:dyDescent="0.2">
      <c r="A62" s="4" t="s">
        <v>373</v>
      </c>
      <c r="B62" s="16">
        <v>2262</v>
      </c>
      <c r="C62" s="16">
        <v>1794</v>
      </c>
      <c r="D62" s="16">
        <v>4937</v>
      </c>
      <c r="E62" s="16">
        <v>2835</v>
      </c>
      <c r="F62" s="16">
        <v>4384</v>
      </c>
    </row>
    <row r="63" spans="1:6" ht="15" customHeight="1" x14ac:dyDescent="0.2">
      <c r="A63" s="4" t="s">
        <v>374</v>
      </c>
      <c r="B63" s="16">
        <v>8827</v>
      </c>
      <c r="C63" s="16">
        <v>252</v>
      </c>
      <c r="D63" s="16">
        <v>-16295</v>
      </c>
      <c r="E63" s="16">
        <v>-4398</v>
      </c>
      <c r="F63" s="16">
        <v>-1608</v>
      </c>
    </row>
    <row r="64" spans="1:6" ht="15" customHeight="1" x14ac:dyDescent="0.2">
      <c r="A64" s="4" t="s">
        <v>375</v>
      </c>
      <c r="B64" s="16">
        <v>5092</v>
      </c>
      <c r="C64" s="16">
        <v>2075</v>
      </c>
      <c r="D64" s="16">
        <v>-21794</v>
      </c>
      <c r="E64" s="16">
        <v>-2538</v>
      </c>
      <c r="F64" s="16">
        <v>13208</v>
      </c>
    </row>
    <row r="65" spans="1:8" ht="15" customHeight="1" x14ac:dyDescent="0.2">
      <c r="A65" s="17" t="s">
        <v>376</v>
      </c>
      <c r="B65" s="18">
        <f>SUM(B58:B64)</f>
        <v>643284</v>
      </c>
      <c r="C65" s="18">
        <f>SUM(C58:C64)</f>
        <v>656002</v>
      </c>
      <c r="D65" s="18">
        <f>SUM(D58:D64)</f>
        <v>650210</v>
      </c>
      <c r="E65" s="18">
        <f>SUM(E58:E64)</f>
        <v>716070</v>
      </c>
      <c r="F65" s="18">
        <f>SUM(F58:F64)</f>
        <v>955756</v>
      </c>
    </row>
    <row r="66" spans="1:8" ht="15" customHeight="1" x14ac:dyDescent="0.2">
      <c r="A66" s="4" t="s">
        <v>377</v>
      </c>
      <c r="B66" s="16">
        <v>0</v>
      </c>
      <c r="C66" s="16">
        <v>0</v>
      </c>
      <c r="D66" s="16">
        <v>0</v>
      </c>
      <c r="E66" s="16">
        <v>0</v>
      </c>
      <c r="F66" s="16">
        <v>-187871</v>
      </c>
      <c r="H66" s="2" t="s">
        <v>378</v>
      </c>
    </row>
    <row r="67" spans="1:8" ht="15" customHeight="1" x14ac:dyDescent="0.2">
      <c r="A67" s="3" t="s">
        <v>379</v>
      </c>
      <c r="B67" s="19">
        <f>B65+B66</f>
        <v>643284</v>
      </c>
      <c r="C67" s="19">
        <f>C65+C66</f>
        <v>656002</v>
      </c>
      <c r="D67" s="19">
        <f>D65+D66</f>
        <v>650210</v>
      </c>
      <c r="E67" s="19">
        <f>E65+E66</f>
        <v>716070</v>
      </c>
      <c r="F67" s="19">
        <f>F65+F66</f>
        <v>767885</v>
      </c>
      <c r="H67" s="2" t="s">
        <v>380</v>
      </c>
    </row>
    <row r="68" spans="1:8" ht="15" hidden="1" customHeight="1" x14ac:dyDescent="0.2">
      <c r="A68" s="4" t="s">
        <v>1046</v>
      </c>
      <c r="B68" s="16">
        <v>643284</v>
      </c>
      <c r="C68" s="16">
        <v>656001</v>
      </c>
      <c r="D68" s="16">
        <v>650210</v>
      </c>
      <c r="E68" s="16">
        <v>716071</v>
      </c>
      <c r="F68" s="16">
        <v>955756</v>
      </c>
    </row>
    <row r="69" spans="1:8" ht="15" hidden="1" customHeight="1" x14ac:dyDescent="0.2">
      <c r="A69" s="4" t="s">
        <v>361</v>
      </c>
      <c r="B69" s="20">
        <f>B65-B68</f>
        <v>0</v>
      </c>
      <c r="C69" s="20">
        <f>C65-C68</f>
        <v>1</v>
      </c>
      <c r="D69" s="20">
        <f>D65-D68</f>
        <v>0</v>
      </c>
      <c r="E69" s="20">
        <f>E65-E68</f>
        <v>-1</v>
      </c>
      <c r="F69" s="20">
        <f>F65-F68</f>
        <v>0</v>
      </c>
    </row>
    <row r="70" spans="1:8" ht="15" hidden="1" customHeight="1" x14ac:dyDescent="0.2">
      <c r="A70" s="4" t="s">
        <v>1047</v>
      </c>
      <c r="B70" s="16">
        <v>643284</v>
      </c>
      <c r="C70" s="16">
        <v>656001</v>
      </c>
      <c r="D70" s="16">
        <v>650210</v>
      </c>
      <c r="E70" s="16">
        <v>716071</v>
      </c>
      <c r="F70" s="16">
        <v>767885</v>
      </c>
    </row>
    <row r="71" spans="1:8" ht="15" hidden="1" customHeight="1" x14ac:dyDescent="0.2">
      <c r="A71" s="4" t="s">
        <v>361</v>
      </c>
      <c r="B71" s="20">
        <f>B67-B70</f>
        <v>0</v>
      </c>
      <c r="C71" s="20">
        <f>C67-C70</f>
        <v>1</v>
      </c>
      <c r="D71" s="20">
        <f>D67-D70</f>
        <v>0</v>
      </c>
      <c r="E71" s="20">
        <f>E67-E70</f>
        <v>-1</v>
      </c>
      <c r="F71" s="20">
        <f>F67-F70</f>
        <v>0</v>
      </c>
    </row>
    <row r="73" spans="1:8" ht="15" customHeight="1" x14ac:dyDescent="0.2">
      <c r="A73" s="14" t="s">
        <v>1050</v>
      </c>
      <c r="B73" s="15"/>
      <c r="C73" s="15"/>
      <c r="D73" s="15"/>
      <c r="E73" s="15"/>
      <c r="F73" s="15"/>
    </row>
    <row r="74" spans="1:8" ht="15" customHeight="1" x14ac:dyDescent="0.2">
      <c r="A74" s="4" t="s">
        <v>376</v>
      </c>
      <c r="B74" s="21">
        <f>B65</f>
        <v>643284</v>
      </c>
      <c r="C74" s="21">
        <f>C65</f>
        <v>656002</v>
      </c>
      <c r="D74" s="21">
        <f>D65</f>
        <v>650210</v>
      </c>
      <c r="E74" s="21">
        <f>E65</f>
        <v>716070</v>
      </c>
      <c r="F74" s="21">
        <f>F65</f>
        <v>955756</v>
      </c>
    </row>
    <row r="75" spans="1:8" ht="15" customHeight="1" x14ac:dyDescent="0.2">
      <c r="A75" s="2" t="s">
        <v>1062</v>
      </c>
    </row>
    <row r="76" spans="1:8" hidden="1" x14ac:dyDescent="0.2"/>
    <row r="77" spans="1:8" ht="15" customHeight="1" x14ac:dyDescent="0.2">
      <c r="A77" s="4" t="s">
        <v>381</v>
      </c>
      <c r="B77" s="16">
        <v>10117</v>
      </c>
      <c r="C77" s="16">
        <v>9820</v>
      </c>
      <c r="D77" s="16">
        <v>9198</v>
      </c>
      <c r="E77" s="16">
        <v>8546</v>
      </c>
      <c r="F77" s="16">
        <v>8000</v>
      </c>
    </row>
    <row r="78" spans="1:8" ht="15" customHeight="1" x14ac:dyDescent="0.2">
      <c r="A78" s="4" t="s">
        <v>382</v>
      </c>
      <c r="B78" s="16">
        <v>6451</v>
      </c>
      <c r="C78" s="16">
        <v>6565</v>
      </c>
      <c r="D78" s="16">
        <v>6781</v>
      </c>
      <c r="E78" s="16">
        <v>6443</v>
      </c>
      <c r="F78" s="16">
        <v>6343</v>
      </c>
    </row>
    <row r="79" spans="1:8" ht="15" customHeight="1" x14ac:dyDescent="0.2">
      <c r="A79" s="4" t="s">
        <v>383</v>
      </c>
      <c r="B79" s="16">
        <v>1251</v>
      </c>
      <c r="C79" s="16">
        <v>1293</v>
      </c>
      <c r="D79" s="16">
        <v>1341</v>
      </c>
      <c r="E79" s="16">
        <v>1581</v>
      </c>
      <c r="F79" s="16">
        <v>1595</v>
      </c>
    </row>
    <row r="80" spans="1:8" ht="15" customHeight="1" x14ac:dyDescent="0.2">
      <c r="A80" s="4" t="s">
        <v>384</v>
      </c>
      <c r="B80" s="16">
        <v>18026</v>
      </c>
      <c r="C80" s="16">
        <v>18174</v>
      </c>
      <c r="D80" s="16">
        <v>17327</v>
      </c>
      <c r="E80" s="16">
        <v>20908</v>
      </c>
      <c r="F80" s="16">
        <v>21379</v>
      </c>
    </row>
    <row r="81" spans="1:8" ht="15" customHeight="1" x14ac:dyDescent="0.2">
      <c r="A81" s="2" t="s">
        <v>1063</v>
      </c>
    </row>
    <row r="82" spans="1:8" ht="15" customHeight="1" x14ac:dyDescent="0.2">
      <c r="A82" s="4" t="s">
        <v>385</v>
      </c>
      <c r="B82" s="16">
        <v>-23698</v>
      </c>
      <c r="C82" s="16">
        <v>-33351</v>
      </c>
      <c r="D82" s="16">
        <v>-34351</v>
      </c>
      <c r="E82" s="16">
        <v>-21741</v>
      </c>
      <c r="F82" s="16">
        <v>-26955</v>
      </c>
      <c r="H82" s="2" t="s">
        <v>1051</v>
      </c>
    </row>
    <row r="83" spans="1:8" ht="15" customHeight="1" x14ac:dyDescent="0.2">
      <c r="A83" s="4" t="s">
        <v>386</v>
      </c>
      <c r="B83" s="16">
        <v>-475</v>
      </c>
      <c r="C83" s="16">
        <v>-271</v>
      </c>
      <c r="D83" s="16">
        <v>-97</v>
      </c>
      <c r="E83" s="16">
        <v>-1410</v>
      </c>
      <c r="F83" s="16">
        <v>-602</v>
      </c>
    </row>
    <row r="84" spans="1:8" ht="15" customHeight="1" x14ac:dyDescent="0.2">
      <c r="A84" s="4" t="s">
        <v>387</v>
      </c>
      <c r="B84" s="16">
        <v>-752</v>
      </c>
      <c r="C84" s="16">
        <v>-864</v>
      </c>
      <c r="D84" s="16">
        <v>-972</v>
      </c>
      <c r="E84" s="16">
        <v>-1007</v>
      </c>
      <c r="F84" s="16">
        <v>-962</v>
      </c>
    </row>
    <row r="85" spans="1:8" ht="15" customHeight="1" x14ac:dyDescent="0.2">
      <c r="A85" s="4" t="s">
        <v>388</v>
      </c>
      <c r="B85" s="16">
        <v>-30714</v>
      </c>
      <c r="C85" s="16">
        <v>18187</v>
      </c>
      <c r="D85" s="16">
        <v>-26184</v>
      </c>
      <c r="E85" s="16">
        <v>-10919</v>
      </c>
      <c r="F85" s="16">
        <v>-12681</v>
      </c>
    </row>
    <row r="86" spans="1:8" ht="15" customHeight="1" x14ac:dyDescent="0.2">
      <c r="A86" s="4" t="s">
        <v>389</v>
      </c>
      <c r="B86" s="16">
        <v>14721</v>
      </c>
      <c r="C86" s="16">
        <v>15013</v>
      </c>
      <c r="D86" s="16">
        <v>14644</v>
      </c>
      <c r="E86" s="16">
        <v>15476</v>
      </c>
      <c r="F86" s="16">
        <v>13857</v>
      </c>
    </row>
    <row r="87" spans="1:8" ht="15" customHeight="1" x14ac:dyDescent="0.2">
      <c r="A87" s="4" t="s">
        <v>390</v>
      </c>
      <c r="B87" s="16">
        <v>-62083</v>
      </c>
      <c r="C87" s="16">
        <v>-77998</v>
      </c>
      <c r="D87" s="16">
        <v>-168539</v>
      </c>
      <c r="E87" s="16">
        <v>-59665</v>
      </c>
      <c r="F87" s="16">
        <v>-76674</v>
      </c>
      <c r="H87" s="2"/>
    </row>
    <row r="88" spans="1:8" ht="15" customHeight="1" x14ac:dyDescent="0.2">
      <c r="A88" s="17" t="s">
        <v>391</v>
      </c>
      <c r="B88" s="18">
        <f>B74+SUM(B77:B87)</f>
        <v>576128</v>
      </c>
      <c r="C88" s="18">
        <f>C74+SUM(C77:C87)</f>
        <v>612570</v>
      </c>
      <c r="D88" s="18">
        <f>D74+SUM(D77:D87)</f>
        <v>469358</v>
      </c>
      <c r="E88" s="18">
        <f>E74+SUM(E77:E87)</f>
        <v>674282</v>
      </c>
      <c r="F88" s="18">
        <f>F74+SUM(F77:F87)</f>
        <v>889056</v>
      </c>
    </row>
    <row r="89" spans="1:8" ht="15" hidden="1" customHeight="1" x14ac:dyDescent="0.2">
      <c r="A89" s="4" t="s">
        <v>1048</v>
      </c>
      <c r="B89" s="16">
        <v>576127</v>
      </c>
      <c r="C89" s="16">
        <v>612569</v>
      </c>
      <c r="D89" s="16">
        <v>469358</v>
      </c>
      <c r="E89" s="16">
        <v>674283</v>
      </c>
      <c r="F89" s="16">
        <v>889056</v>
      </c>
    </row>
    <row r="90" spans="1:8" ht="15" hidden="1" customHeight="1" x14ac:dyDescent="0.2">
      <c r="A90" s="4" t="s">
        <v>361</v>
      </c>
      <c r="B90" s="20">
        <f>B88-B89</f>
        <v>1</v>
      </c>
      <c r="C90" s="20">
        <f>C88-C89</f>
        <v>1</v>
      </c>
      <c r="D90" s="20">
        <f>D88-D89</f>
        <v>0</v>
      </c>
      <c r="E90" s="20">
        <f>E88-E89</f>
        <v>-1</v>
      </c>
      <c r="F90" s="20">
        <f>F88-F89</f>
        <v>0</v>
      </c>
    </row>
    <row r="92" spans="1:8" ht="15" customHeight="1" x14ac:dyDescent="0.2">
      <c r="A92" s="14" t="s">
        <v>392</v>
      </c>
      <c r="B92" s="15"/>
      <c r="C92" s="15"/>
      <c r="D92" s="15"/>
      <c r="E92" s="15"/>
      <c r="F92" s="15"/>
    </row>
    <row r="93" spans="1:8" ht="15" customHeight="1" x14ac:dyDescent="0.2">
      <c r="A93" s="4" t="s">
        <v>1052</v>
      </c>
      <c r="B93" s="22">
        <v>343546</v>
      </c>
      <c r="C93" s="22">
        <v>347301</v>
      </c>
      <c r="D93" s="22">
        <v>349354</v>
      </c>
      <c r="E93" s="22">
        <v>351059</v>
      </c>
      <c r="F93" s="22">
        <v>360181</v>
      </c>
    </row>
    <row r="94" spans="1:8" ht="15" customHeight="1" x14ac:dyDescent="0.2">
      <c r="A94" s="4" t="s">
        <v>1053</v>
      </c>
      <c r="B94" s="22">
        <v>351691</v>
      </c>
      <c r="C94" s="22">
        <v>355165</v>
      </c>
      <c r="D94" s="22">
        <v>357430</v>
      </c>
      <c r="E94" s="22">
        <v>359300</v>
      </c>
      <c r="F94" s="22">
        <v>367605</v>
      </c>
      <c r="H94" s="2" t="s">
        <v>1054</v>
      </c>
    </row>
    <row r="95" spans="1:8" ht="15" customHeight="1" x14ac:dyDescent="0.2">
      <c r="A95" s="4" t="s">
        <v>1055</v>
      </c>
      <c r="B95" s="22">
        <v>343909</v>
      </c>
      <c r="C95" s="22">
        <v>347700</v>
      </c>
      <c r="D95" s="22">
        <v>349740</v>
      </c>
      <c r="E95" s="22">
        <v>351293</v>
      </c>
      <c r="F95" s="22">
        <v>360648</v>
      </c>
      <c r="H95" s="2" t="s">
        <v>1056</v>
      </c>
    </row>
    <row r="96" spans="1:8" ht="15" customHeight="1" x14ac:dyDescent="0.2">
      <c r="A96" s="4" t="s">
        <v>393</v>
      </c>
      <c r="B96" s="16">
        <v>15850</v>
      </c>
      <c r="C96" s="16">
        <v>17018</v>
      </c>
      <c r="D96" s="16">
        <v>18240</v>
      </c>
      <c r="E96" s="16">
        <v>15410</v>
      </c>
      <c r="F96" s="16">
        <v>19979</v>
      </c>
      <c r="H96" s="2" t="s">
        <v>1057</v>
      </c>
    </row>
    <row r="97" spans="1:6" ht="15" customHeight="1" x14ac:dyDescent="0.2">
      <c r="A97" s="3" t="s">
        <v>1058</v>
      </c>
      <c r="B97" s="23">
        <f>(B53+B96)/B94</f>
        <v>1.7520465408554668</v>
      </c>
      <c r="C97" s="23">
        <f>(C53+C96)/C94</f>
        <v>1.6529950867906467</v>
      </c>
      <c r="D97" s="23">
        <f>(D53+D96)/D94</f>
        <v>1.8917298492012422</v>
      </c>
      <c r="E97" s="23">
        <f>(E53+E96)/E94</f>
        <v>1.9922237684386306</v>
      </c>
      <c r="F97" s="23">
        <f>(F53+F96)/F94</f>
        <v>2.7254389902204812</v>
      </c>
    </row>
    <row r="98" spans="1:6" ht="15" customHeight="1" x14ac:dyDescent="0.2">
      <c r="A98" s="3" t="s">
        <v>1059</v>
      </c>
      <c r="B98" s="23">
        <f>B65/B95</f>
        <v>1.8705064421111399</v>
      </c>
      <c r="C98" s="23">
        <f>C65/C95</f>
        <v>1.8866896750071902</v>
      </c>
      <c r="D98" s="23">
        <f>D65/D95</f>
        <v>1.8591239206267514</v>
      </c>
      <c r="E98" s="23">
        <f>E65/E95</f>
        <v>2.0383839131437291</v>
      </c>
      <c r="F98" s="23">
        <f>F65/F95</f>
        <v>2.6501075841263502</v>
      </c>
    </row>
    <row r="99" spans="1:6" ht="15" customHeight="1" x14ac:dyDescent="0.2">
      <c r="A99" s="3" t="s">
        <v>1060</v>
      </c>
      <c r="B99" s="23">
        <f>B67/B95</f>
        <v>1.8705064421111399</v>
      </c>
      <c r="C99" s="23">
        <f>C67/C95</f>
        <v>1.8866896750071902</v>
      </c>
      <c r="D99" s="23">
        <f>D67/D95</f>
        <v>1.8591239206267514</v>
      </c>
      <c r="E99" s="23">
        <f>E67/E95</f>
        <v>2.0383839131437291</v>
      </c>
      <c r="F99" s="23">
        <f>F67/F95</f>
        <v>2.129181362436503</v>
      </c>
    </row>
    <row r="100" spans="1:6" ht="15" customHeight="1" x14ac:dyDescent="0.2">
      <c r="A100" s="3" t="s">
        <v>1061</v>
      </c>
      <c r="B100" s="23">
        <f>B88/B95</f>
        <v>1.6752338554675801</v>
      </c>
      <c r="C100" s="23">
        <f>C88/C95</f>
        <v>1.7617773943054358</v>
      </c>
      <c r="D100" s="23">
        <f>D88/D95</f>
        <v>1.342019786126837</v>
      </c>
      <c r="E100" s="23">
        <f>E88/E95</f>
        <v>1.9194290805680727</v>
      </c>
      <c r="F100" s="23">
        <f>F88/F95</f>
        <v>2.4651627071271709</v>
      </c>
    </row>
    <row r="101" spans="1:6" ht="15" customHeight="1" x14ac:dyDescent="0.2">
      <c r="A101" s="4" t="s">
        <v>394</v>
      </c>
      <c r="B101" s="24">
        <v>1.22</v>
      </c>
      <c r="C101" s="24">
        <v>1.22</v>
      </c>
      <c r="D101" s="24">
        <v>1.22</v>
      </c>
      <c r="E101" s="24">
        <v>1.22</v>
      </c>
      <c r="F101" s="24">
        <v>1.22</v>
      </c>
    </row>
    <row r="102" spans="1:6" ht="15" customHeight="1" x14ac:dyDescent="0.2">
      <c r="A102" s="4" t="s">
        <v>395</v>
      </c>
      <c r="B102" s="25">
        <f>B101/B100</f>
        <v>0.72825653327038431</v>
      </c>
      <c r="C102" s="25">
        <f>C101/C100</f>
        <v>0.69248249179685584</v>
      </c>
      <c r="D102" s="25">
        <f>D101/D100</f>
        <v>0.90907750586971992</v>
      </c>
      <c r="E102" s="25">
        <f>E101/E100</f>
        <v>0.63560566647189165</v>
      </c>
      <c r="F102" s="25">
        <f>F101/F100</f>
        <v>0.49489633948817624</v>
      </c>
    </row>
    <row r="103" spans="1:6" ht="15" customHeight="1" x14ac:dyDescent="0.2">
      <c r="A103" s="4" t="s">
        <v>396</v>
      </c>
      <c r="B103" s="25">
        <f>B101/B99</f>
        <v>0.65222977720571318</v>
      </c>
      <c r="C103" s="25">
        <f>C101/C99</f>
        <v>0.64663522367309856</v>
      </c>
      <c r="D103" s="25">
        <f>D101/D99</f>
        <v>0.65622306639393424</v>
      </c>
      <c r="E103" s="25">
        <f>E101/E99</f>
        <v>0.59851335763263369</v>
      </c>
      <c r="F103" s="25">
        <f>F101/F99</f>
        <v>0.57299017430995525</v>
      </c>
    </row>
    <row r="105" spans="1:6" ht="15" customHeight="1" x14ac:dyDescent="0.2">
      <c r="A105" s="14" t="s">
        <v>397</v>
      </c>
      <c r="B105" s="15"/>
      <c r="C105" s="15"/>
      <c r="D105" s="15"/>
      <c r="E105" s="15"/>
      <c r="F105" s="15"/>
    </row>
    <row r="106" spans="1:6" ht="15" customHeight="1" x14ac:dyDescent="0.2">
      <c r="A106" s="4" t="s">
        <v>398</v>
      </c>
      <c r="B106" s="16">
        <v>823319</v>
      </c>
      <c r="C106" s="16">
        <v>867807</v>
      </c>
      <c r="D106" s="16">
        <v>856836</v>
      </c>
      <c r="E106" s="16">
        <v>920307</v>
      </c>
      <c r="F106" s="16">
        <v>977589</v>
      </c>
    </row>
    <row r="107" spans="1:6" ht="15" customHeight="1" x14ac:dyDescent="0.2">
      <c r="A107" s="4" t="s">
        <v>399</v>
      </c>
      <c r="B107" s="16">
        <v>18452148</v>
      </c>
      <c r="C107" s="16">
        <v>18225434</v>
      </c>
      <c r="D107" s="16">
        <v>18402135</v>
      </c>
      <c r="E107" s="16">
        <v>17996633</v>
      </c>
      <c r="F107" s="16">
        <v>18635349</v>
      </c>
    </row>
    <row r="108" spans="1:6" ht="15" customHeight="1" x14ac:dyDescent="0.2">
      <c r="A108" s="4" t="s">
        <v>400</v>
      </c>
      <c r="B108" s="26">
        <v>5.0999999999999996</v>
      </c>
      <c r="C108" s="26">
        <v>4.9000000000000004</v>
      </c>
      <c r="D108" s="26">
        <v>4.9000000000000004</v>
      </c>
      <c r="E108" s="26">
        <v>4.7</v>
      </c>
      <c r="F108" s="26">
        <v>4.7</v>
      </c>
    </row>
    <row r="109" spans="1:6" ht="15" customHeight="1" x14ac:dyDescent="0.2">
      <c r="A109" s="4" t="s">
        <v>401</v>
      </c>
      <c r="B109" s="26">
        <v>4.7</v>
      </c>
      <c r="C109" s="26">
        <v>4.5999999999999996</v>
      </c>
      <c r="D109" s="26">
        <v>4.5</v>
      </c>
      <c r="E109" s="26">
        <v>4.9000000000000004</v>
      </c>
      <c r="F109" s="26">
        <v>5.2</v>
      </c>
    </row>
    <row r="110" spans="1:6" ht="15" customHeight="1" x14ac:dyDescent="0.2">
      <c r="A110" s="4" t="s">
        <v>402</v>
      </c>
      <c r="B110" s="16">
        <v>48714995</v>
      </c>
      <c r="C110" s="16">
        <v>48728634</v>
      </c>
      <c r="D110" s="16">
        <v>49410468</v>
      </c>
      <c r="E110" s="16">
        <v>48859973</v>
      </c>
      <c r="F110" s="16">
        <v>54517914</v>
      </c>
    </row>
    <row r="111" spans="1:6" ht="15" customHeight="1" x14ac:dyDescent="0.2">
      <c r="A111" s="4" t="s">
        <v>403</v>
      </c>
      <c r="B111" s="22">
        <v>340372</v>
      </c>
      <c r="C111" s="22">
        <v>343041</v>
      </c>
      <c r="D111" s="22">
        <v>343557</v>
      </c>
      <c r="E111" s="22">
        <v>348924</v>
      </c>
      <c r="F111" s="22">
        <v>370010</v>
      </c>
    </row>
    <row r="112" spans="1:6" ht="15" customHeight="1" x14ac:dyDescent="0.2">
      <c r="A112" s="4" t="s">
        <v>404</v>
      </c>
      <c r="B112" s="22">
        <v>6272</v>
      </c>
      <c r="C112" s="22">
        <v>6203</v>
      </c>
      <c r="D112" s="22">
        <v>6189</v>
      </c>
      <c r="E112" s="22">
        <v>6293</v>
      </c>
      <c r="F112" s="22">
        <v>6665</v>
      </c>
    </row>
    <row r="113" spans="1:6" ht="15" customHeight="1" x14ac:dyDescent="0.2">
      <c r="A113" s="3" t="s">
        <v>405</v>
      </c>
      <c r="B113" s="27">
        <f>B111+B112</f>
        <v>346644</v>
      </c>
      <c r="C113" s="27">
        <f>C111+C112</f>
        <v>349244</v>
      </c>
      <c r="D113" s="27">
        <f>D111+D112</f>
        <v>349746</v>
      </c>
      <c r="E113" s="27">
        <f>E111+E112</f>
        <v>355217</v>
      </c>
      <c r="F113" s="27">
        <f>F111+F112</f>
        <v>376675</v>
      </c>
    </row>
  </sheetData>
  <pageMargins left="0.75" right="0.75" top="1" bottom="1" header="0.511811023622047" footer="0.511811023622047"/>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Decision_Log</vt:lpstr>
      <vt:lpstr>Historicals_A</vt:lpstr>
      <vt:lpstr>Source_Data</vt:lpstr>
      <vt:lpstr>Summary</vt:lpstr>
      <vt:lpstr>Scenarios</vt:lpstr>
      <vt:lpstr>NAV_SOTP</vt:lpstr>
      <vt:lpstr>DCF</vt:lpstr>
      <vt:lpstr>Comps</vt:lpstr>
      <vt:lpstr>FFO_Bridge</vt:lpstr>
      <vt:lpstr>Rev_Build</vt:lpstr>
      <vt:lpstr>Opex_NOI</vt:lpstr>
      <vt:lpstr>Capital</vt:lpstr>
      <vt:lpstr>Historicals_Q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Zaman, Md Saeed</cp:lastModifiedBy>
  <cp:revision>0</cp:revision>
  <dcterms:created xsi:type="dcterms:W3CDTF">2026-08-07T22:10:01Z</dcterms:created>
  <dcterms:modified xsi:type="dcterms:W3CDTF">2026-09-20T21:36:38Z</dcterms:modified>
  <dc:language>en-US</dc:language>
</cp:coreProperties>
</file>